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شروع" sheetId="1" state="visible" r:id="rId1"/>
    <sheet xmlns:r="http://schemas.openxmlformats.org/officeDocument/2006/relationships" name="ثبت معامله" sheetId="2" state="visible" r:id="rId2"/>
    <sheet xmlns:r="http://schemas.openxmlformats.org/officeDocument/2006/relationships" name="داشبورد" sheetId="3" state="visible" r:id="rId3"/>
    <sheet xmlns:r="http://schemas.openxmlformats.org/officeDocument/2006/relationships" name="تنظیمات" sheetId="4" state="visible" r:id="rId4"/>
    <sheet xmlns:r="http://schemas.openxmlformats.org/officeDocument/2006/relationships" name="اوتانا" sheetId="5" state="visible" r:id="rId5"/>
    <sheet xmlns:r="http://schemas.openxmlformats.org/officeDocument/2006/relationships" name="داده‌ی نمودار" sheetId="6" state="visible" r:id="rId6"/>
  </sheets>
  <definedNames>
    <definedName name="_xlnm._FilterDatabase" localSheetId="1" hidden="1">'ثبت معامله'!$A$4:$U$504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#,##0.00;[Red]-#,##0.00"/>
    <numFmt numFmtId="167" formatCode="#,##0.00;-#,##0.00"/>
  </numFmts>
  <fonts count="26">
    <font>
      <name val="Calibri"/>
      <family val="2"/>
      <color theme="1"/>
      <sz val="11"/>
      <scheme val="minor"/>
    </font>
    <font>
      <name val="Tahoma"/>
      <b val="1"/>
      <color rgb="005B34D0"/>
      <sz val="22"/>
    </font>
    <font>
      <name val="Tahoma"/>
      <color rgb="006E7791"/>
      <sz val="12"/>
    </font>
    <font>
      <name val="Tahoma"/>
      <b val="1"/>
      <color rgb="00101935"/>
      <sz val="12"/>
    </font>
    <font>
      <name val="Tahoma"/>
      <color rgb="00101935"/>
      <sz val="11"/>
    </font>
    <font>
      <name val="Tahoma"/>
      <b val="1"/>
      <color rgb="005B34D0"/>
      <sz val="13"/>
    </font>
    <font>
      <name val="Tahoma"/>
      <b val="1"/>
      <color rgb="00101935"/>
      <sz val="11"/>
    </font>
    <font>
      <name val="Tahoma"/>
      <b val="1"/>
      <color rgb="005B34D0"/>
      <sz val="18"/>
    </font>
    <font>
      <name val="Tahoma"/>
      <color rgb="006E7791"/>
      <sz val="10"/>
    </font>
    <font>
      <name val="Tahoma"/>
      <b val="1"/>
      <color rgb="00FFFFFF"/>
      <sz val="11"/>
    </font>
    <font>
      <name val="Tahoma"/>
      <color rgb="006E7791"/>
      <sz val="9"/>
    </font>
    <font>
      <name val="Tahoma"/>
      <b val="1"/>
      <color rgb="00FFFFFF"/>
      <sz val="10"/>
    </font>
    <font>
      <name val="Tahoma"/>
      <b val="1"/>
      <color rgb="005B34D0"/>
      <sz val="9"/>
    </font>
    <font>
      <name val="Tahoma"/>
      <b val="1"/>
      <color rgb="006E7791"/>
      <sz val="9"/>
    </font>
    <font>
      <name val="Tahoma"/>
      <color rgb="00101935"/>
      <sz val="10"/>
    </font>
    <font>
      <name val="Tahoma"/>
      <color rgb="00374151"/>
      <sz val="10"/>
    </font>
    <font>
      <name val="Tahoma"/>
      <b val="1"/>
      <color rgb="006E7791"/>
      <sz val="11"/>
    </font>
    <font>
      <name val="Tahoma"/>
      <b val="1"/>
      <color rgb="005B34D0"/>
      <sz val="20"/>
    </font>
    <font>
      <name val="Tahoma"/>
      <b val="1"/>
      <color rgb="00101935"/>
      <sz val="18"/>
    </font>
    <font>
      <name val="Tahoma"/>
      <b val="1"/>
      <color rgb="000E9F6E"/>
      <sz val="18"/>
    </font>
    <font>
      <name val="Tahoma"/>
      <b val="1"/>
      <color rgb="00D64545"/>
      <sz val="18"/>
    </font>
    <font>
      <name val="Tahoma"/>
      <color rgb="006E7791"/>
      <sz val="11"/>
    </font>
    <font>
      <name val="Tahoma"/>
      <b val="1"/>
      <color rgb="000E9F6E"/>
      <sz val="13"/>
    </font>
    <font>
      <name val="Tahoma"/>
      <b val="1"/>
      <color rgb="00D64545"/>
      <sz val="13"/>
    </font>
    <font>
      <name val="Tahoma"/>
      <b val="1"/>
      <color rgb="005B34D0"/>
      <sz val="14"/>
    </font>
    <font>
      <name val="Tahoma"/>
      <color rgb="005B34D0"/>
      <sz val="12"/>
      <u val="single"/>
    </font>
  </fonts>
  <fills count="6">
    <fill>
      <patternFill/>
    </fill>
    <fill>
      <patternFill patternType="gray125"/>
    </fill>
    <fill>
      <patternFill patternType="solid">
        <fgColor rgb="005B34D0"/>
        <bgColor rgb="005B34D0"/>
      </patternFill>
    </fill>
    <fill>
      <patternFill patternType="solid">
        <fgColor rgb="004B5563"/>
        <bgColor rgb="004B5563"/>
      </patternFill>
    </fill>
    <fill>
      <patternFill patternType="solid">
        <fgColor rgb="00F3F4F8"/>
        <bgColor rgb="00F3F4F8"/>
      </patternFill>
    </fill>
    <fill>
      <patternFill patternType="solid">
        <fgColor rgb="00FFFFFF"/>
        <bgColor rgb="00FFFFFF"/>
      </patternFill>
    </fill>
  </fills>
  <borders count="8">
    <border>
      <left/>
      <right/>
      <top/>
      <bottom/>
      <diagonal/>
    </border>
    <border>
      <bottom style="thin">
        <color rgb="00D9DCE6"/>
      </bottom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  <border>
      <left style="thin">
        <color rgb="00D9DCE6"/>
      </left>
      <top style="thin">
        <color rgb="00D9DCE6"/>
      </top>
    </border>
    <border>
      <left style="thin">
        <color rgb="00D9DCE6"/>
      </left>
      <bottom style="thin">
        <color rgb="00D9DCE6"/>
      </bottom>
    </border>
    <border>
      <top style="thin">
        <color rgb="00D9DCE6"/>
      </top>
    </border>
    <border>
      <right style="thin">
        <color rgb="00D9DCE6"/>
      </right>
      <top style="thin">
        <color rgb="00D9DCE6"/>
      </top>
    </border>
    <border>
      <right style="thin">
        <color rgb="00D9DCE6"/>
      </right>
      <bottom style="thin">
        <color rgb="00D9DCE6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right" vertical="top" readingOrder="2"/>
    </xf>
    <xf numFmtId="0" fontId="4" fillId="0" borderId="1" applyAlignment="1" pivotButton="0" quotePrefix="0" xfId="0">
      <alignment horizontal="right" vertical="top" wrapText="1" readingOrder="2"/>
    </xf>
    <xf numFmtId="0" fontId="5" fillId="0" borderId="0" pivotButton="0" quotePrefix="0" xfId="0"/>
    <xf numFmtId="0" fontId="6" fillId="0" borderId="0" applyAlignment="1" pivotButton="0" quotePrefix="0" xfId="0">
      <alignment horizontal="right" vertical="top" readingOrder="2"/>
    </xf>
    <xf numFmtId="0" fontId="4" fillId="0" borderId="0" applyAlignment="1" pivotButton="0" quotePrefix="0" xfId="0">
      <alignment horizontal="right" vertical="top" wrapText="1" readingOrder="2"/>
    </xf>
    <xf numFmtId="0" fontId="7" fillId="0" borderId="0" pivotButton="0" quotePrefix="0" xfId="0"/>
    <xf numFmtId="0" fontId="8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2" applyAlignment="1" pivotButton="0" quotePrefix="0" xfId="0">
      <alignment horizontal="center" vertical="center" wrapText="1" readingOrder="2"/>
    </xf>
    <xf numFmtId="0" fontId="11" fillId="3" borderId="2" applyAlignment="1" pivotButton="0" quotePrefix="0" xfId="0">
      <alignment horizontal="center" vertical="center" wrapText="1" readingOrder="2"/>
    </xf>
    <xf numFmtId="164" fontId="14" fillId="0" borderId="2" applyAlignment="1" pivotButton="0" quotePrefix="0" xfId="0">
      <alignment horizontal="center" vertical="center" readingOrder="1"/>
    </xf>
    <xf numFmtId="49" fontId="14" fillId="0" borderId="2" applyAlignment="1" pivotButton="0" quotePrefix="0" xfId="0">
      <alignment horizontal="center" vertical="center" readingOrder="2"/>
    </xf>
    <xf numFmtId="0" fontId="14" fillId="0" borderId="2" applyAlignment="1" pivotButton="0" quotePrefix="0" xfId="0">
      <alignment horizontal="center" vertical="center" readingOrder="1"/>
    </xf>
    <xf numFmtId="2" fontId="14" fillId="0" borderId="2" applyAlignment="1" pivotButton="0" quotePrefix="0" xfId="0">
      <alignment horizontal="center" vertical="center" readingOrder="1"/>
    </xf>
    <xf numFmtId="4" fontId="14" fillId="0" borderId="2" applyAlignment="1" pivotButton="0" quotePrefix="0" xfId="0">
      <alignment horizontal="center" vertical="center" readingOrder="1"/>
    </xf>
    <xf numFmtId="49" fontId="14" fillId="0" borderId="2" applyAlignment="1" pivotButton="0" quotePrefix="0" xfId="0">
      <alignment horizontal="right" vertical="center" readingOrder="2"/>
    </xf>
    <xf numFmtId="3" fontId="15" fillId="4" borderId="2" applyAlignment="1" pivotButton="0" quotePrefix="0" xfId="0">
      <alignment horizontal="center" vertical="center" readingOrder="1"/>
    </xf>
    <xf numFmtId="49" fontId="15" fillId="4" borderId="2" applyAlignment="1" pivotButton="0" quotePrefix="0" xfId="0">
      <alignment horizontal="center" vertical="center" readingOrder="2"/>
    </xf>
    <xf numFmtId="4" fontId="15" fillId="4" borderId="2" applyAlignment="1" pivotButton="0" quotePrefix="0" xfId="0">
      <alignment horizontal="center" vertical="center" readingOrder="1"/>
    </xf>
    <xf numFmtId="2" fontId="15" fillId="4" borderId="2" applyAlignment="1" pivotButton="0" quotePrefix="0" xfId="0">
      <alignment horizontal="center" vertical="center" readingOrder="1"/>
    </xf>
    <xf numFmtId="1" fontId="15" fillId="4" borderId="2" applyAlignment="1" pivotButton="0" quotePrefix="0" xfId="0">
      <alignment horizontal="center" vertical="center" readingOrder="1"/>
    </xf>
    <xf numFmtId="0" fontId="17" fillId="0" borderId="0" pivotButton="0" quotePrefix="0" xfId="0"/>
    <xf numFmtId="0" fontId="3" fillId="0" borderId="0" pivotButton="0" quotePrefix="0" xfId="0"/>
    <xf numFmtId="0" fontId="8" fillId="5" borderId="3" applyAlignment="1" pivotButton="0" quotePrefix="0" xfId="0">
      <alignment horizontal="center" vertical="center" readingOrder="2"/>
    </xf>
    <xf numFmtId="0" fontId="0" fillId="5" borderId="5" pivotButton="0" quotePrefix="0" xfId="0"/>
    <xf numFmtId="0" fontId="0" fillId="5" borderId="6" pivotButton="0" quotePrefix="0" xfId="0"/>
    <xf numFmtId="1" fontId="18" fillId="5" borderId="4" applyAlignment="1" pivotButton="0" quotePrefix="0" xfId="0">
      <alignment horizontal="center" vertical="center" readingOrder="1"/>
    </xf>
    <xf numFmtId="0" fontId="0" fillId="5" borderId="1" pivotButton="0" quotePrefix="0" xfId="0"/>
    <xf numFmtId="0" fontId="0" fillId="5" borderId="7" pivotButton="0" quotePrefix="0" xfId="0"/>
    <xf numFmtId="165" fontId="18" fillId="5" borderId="4" applyAlignment="1" pivotButton="0" quotePrefix="0" xfId="0">
      <alignment horizontal="center" vertical="center" readingOrder="1"/>
    </xf>
    <xf numFmtId="166" fontId="18" fillId="5" borderId="4" applyAlignment="1" pivotButton="0" quotePrefix="0" xfId="0">
      <alignment horizontal="center" vertical="center" readingOrder="1"/>
    </xf>
    <xf numFmtId="2" fontId="18" fillId="5" borderId="4" applyAlignment="1" pivotButton="0" quotePrefix="0" xfId="0">
      <alignment horizontal="center" vertical="center" readingOrder="1"/>
    </xf>
    <xf numFmtId="4" fontId="19" fillId="5" borderId="4" applyAlignment="1" pivotButton="0" quotePrefix="0" xfId="0">
      <alignment horizontal="center" vertical="center" readingOrder="1"/>
    </xf>
    <xf numFmtId="167" fontId="20" fillId="5" borderId="4" applyAlignment="1" pivotButton="0" quotePrefix="0" xfId="0">
      <alignment horizontal="center" vertical="center" readingOrder="1"/>
    </xf>
    <xf numFmtId="4" fontId="18" fillId="5" borderId="4" applyAlignment="1" pivotButton="0" quotePrefix="0" xfId="0">
      <alignment horizontal="center" vertical="center" readingOrder="1"/>
    </xf>
    <xf numFmtId="0" fontId="4" fillId="0" borderId="2" applyAlignment="1" pivotButton="0" quotePrefix="0" xfId="0">
      <alignment horizontal="center" readingOrder="2"/>
    </xf>
    <xf numFmtId="0" fontId="11" fillId="2" borderId="2" applyAlignment="1" pivotButton="0" quotePrefix="0" xfId="0">
      <alignment horizontal="center" vertical="center" readingOrder="2"/>
    </xf>
    <xf numFmtId="49" fontId="4" fillId="0" borderId="2" applyAlignment="1" pivotButton="0" quotePrefix="0" xfId="0">
      <alignment horizontal="center" readingOrder="2"/>
    </xf>
    <xf numFmtId="1" fontId="4" fillId="0" borderId="2" applyAlignment="1" pivotButton="0" quotePrefix="0" xfId="0">
      <alignment horizontal="center" readingOrder="1"/>
    </xf>
    <xf numFmtId="165" fontId="4" fillId="0" borderId="2" applyAlignment="1" pivotButton="0" quotePrefix="0" xfId="0">
      <alignment horizontal="center" readingOrder="1"/>
    </xf>
    <xf numFmtId="166" fontId="4" fillId="0" borderId="2" applyAlignment="1" pivotButton="0" quotePrefix="0" xfId="0">
      <alignment horizontal="center" readingOrder="1"/>
    </xf>
    <xf numFmtId="2" fontId="4" fillId="0" borderId="2" applyAlignment="1" pivotButton="0" quotePrefix="0" xfId="0">
      <alignment horizontal="center" readingOrder="1"/>
    </xf>
    <xf numFmtId="0" fontId="9" fillId="2" borderId="0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center"/>
    </xf>
    <xf numFmtId="3" fontId="4" fillId="0" borderId="2" applyAlignment="1" pivotButton="0" quotePrefix="0" xfId="0">
      <alignment horizontal="center"/>
    </xf>
    <xf numFmtId="0" fontId="10" fillId="0" borderId="0" applyAlignment="1" pivotButton="0" quotePrefix="0" xfId="0">
      <alignment wrapText="1" readingOrder="2"/>
    </xf>
    <xf numFmtId="0" fontId="21" fillId="0" borderId="0" pivotButton="0" quotePrefix="0" xfId="0"/>
    <xf numFmtId="0" fontId="9" fillId="2" borderId="2" applyAlignment="1" pivotButton="0" quotePrefix="0" xfId="0">
      <alignment horizontal="center" vertical="center" readingOrder="2"/>
    </xf>
    <xf numFmtId="0" fontId="6" fillId="0" borderId="2" applyAlignment="1" pivotButton="0" quotePrefix="0" xfId="0">
      <alignment horizontal="right" vertical="center" wrapText="1" readingOrder="2"/>
    </xf>
    <xf numFmtId="0" fontId="22" fillId="0" borderId="2" applyAlignment="1" pivotButton="0" quotePrefix="0" xfId="0">
      <alignment horizontal="center" vertical="center" wrapText="1" readingOrder="2"/>
    </xf>
    <xf numFmtId="0" fontId="23" fillId="0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center" vertical="center" wrapText="1" readingOrder="2"/>
    </xf>
    <xf numFmtId="0" fontId="24" fillId="0" borderId="0" pivotButton="0" quotePrefix="0" xfId="0"/>
    <xf numFmtId="0" fontId="25" fillId="0" borderId="0" pivotButton="0" quotePrefix="0" xfId="0"/>
    <xf numFmtId="0" fontId="16" fillId="0" borderId="0" pivotButton="0" quotePrefix="0" xfId="0"/>
    <xf numFmtId="0" fontId="11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2">
    <dxf>
      <font>
        <name val="Tahoma"/>
        <b val="1"/>
        <color rgb="000E9F6E"/>
        <sz val="10"/>
      </font>
    </dxf>
    <dxf>
      <font>
        <name val="Tahoma"/>
        <b val="1"/>
        <color rgb="00D64545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plotArea>
      <scatterChart>
        <ser>
          <idx val="0"/>
          <order val="0"/>
          <tx>
            <v>مجموع</v>
          </tx>
          <spPr>
            <a:ln xmlns:a="http://schemas.openxmlformats.org/drawingml/2006/main" w="22000">
              <a:solidFill>
                <a:srgbClr val="5B34D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5B34D0"/>
              </a:solidFill>
              <a:ln xmlns:a="http://schemas.openxmlformats.org/drawingml/2006/main">
                <a:solidFill>
                  <a:srgbClr val="5B34D0"/>
                </a:solidFill>
                <a:prstDash val="solid"/>
              </a:ln>
            </spPr>
          </marker>
          <xVal>
            <numRef>
              <f>'داده‌ی نمودار'!$A$3:$A$502</f>
            </numRef>
          </xVal>
          <yVal>
            <numRef>
              <f>'داده‌ی نمودار'!$B$3:$B$502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numFmt formatCode="0" sourceLinked="0"/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plotArea>
      <barChart>
        <barDir val="col"/>
        <grouping val="clustered"/>
        <ser>
          <idx val="0"/>
          <order val="0"/>
          <tx>
            <strRef>
              <f>'داشبورد'!G16</f>
            </strRef>
          </tx>
          <spPr>
            <a:solidFill xmlns:a="http://schemas.openxmlformats.org/drawingml/2006/main">
              <a:srgbClr val="5B34D0"/>
            </a:solidFill>
            <a:ln xmlns:a="http://schemas.openxmlformats.org/drawingml/2006/main">
              <a:prstDash val="solid"/>
            </a:ln>
          </spPr>
          <invertIfNegative val="0"/>
          <cat>
            <numRef>
              <f>'داشبورد'!$D$17:$D$22</f>
            </numRef>
          </cat>
          <val>
            <numRef>
              <f>'داشبورد'!$G$17:$G$22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9F6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CA3AF"/>
              </a:solidFill>
              <a:ln xmlns:a="http://schemas.openxmlformats.org/drawingml/2006/main">
                <a:prstDash val="solid"/>
              </a:ln>
            </spPr>
          </dPt>
          <cat>
            <numRef>
              <f>'داشبورد'!$A$16:$A$18</f>
            </numRef>
          </cat>
          <val>
            <numRef>
              <f>'داشبورد'!$B$16:$B$18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68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43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43</row>
      <rowOff>0</rowOff>
    </from>
    <ext cx="3960000" cy="30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otana.i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8" customWidth="1" min="3" max="3"/>
  </cols>
  <sheetData>
    <row r="2">
      <c r="B2" s="1" t="inlineStr">
        <is>
          <t>ژورنال معاملاتی اوتانا</t>
        </is>
      </c>
    </row>
    <row r="3">
      <c r="B3" s="2" t="inlineStr">
        <is>
          <t>قالب رایگان اکسل · فارسی و راست‌به‌چپ · بدون نیاز به ثبت‌نام</t>
        </is>
      </c>
    </row>
    <row r="5" ht="50" customHeight="1">
      <c r="B5" s="3" t="inlineStr">
        <is>
          <t>۱ · برنامه را باز کن</t>
        </is>
      </c>
      <c r="C5" s="4" t="inlineStr">
        <is>
          <t>این فایل را در اکسل باز کن. در گوگل‌شیت هم کار می‌کند: فایل را در گوگل‌درایو آپلود و با گوگل‌شیت باز کن (نمودارها ممکن است کمی فرق کنند).</t>
        </is>
      </c>
    </row>
    <row r="6" ht="50" customHeight="1">
      <c r="B6" s="3" t="inlineStr">
        <is>
          <t>۲ · معامله‌ها را بنویس</t>
        </is>
      </c>
      <c r="C6" s="4" t="inlineStr">
        <is>
          <t>در شیت «ثبت معامله» هر معامله یک ردیف است. ستون‌های بنفش را خودت پر می‌کنی؛ ستون‌های خاکستری فرمول‌اند و خودشان حساب می‌شوند. اعداد را با کیبورد انگلیسی بنویس (۱٫۲ نه ۱٬۲) تا اکسل عدد بشناسد.</t>
        </is>
      </c>
    </row>
    <row r="7" ht="50" customHeight="1">
      <c r="B7" s="3" t="inlineStr">
        <is>
          <t>۳ · یادداشت بنویس</t>
        </is>
      </c>
      <c r="C7" s="4" t="inlineStr">
        <is>
          <t>ستون «یادداشت» مهم‌ترین ستون است: چرا وارد شدی، چه حسی داشتی، چه چیزی را جور دیگری انجام می‌دادی. عددها می‌گویند چه شد؛ یادداشت می‌گوید چرا.</t>
        </is>
      </c>
    </row>
    <row r="8" ht="50" customHeight="1">
      <c r="B8" s="3" t="inlineStr">
        <is>
          <t>۴ · داشبورد را ببین</t>
        </is>
      </c>
      <c r="C8" s="4" t="inlineStr">
        <is>
          <t>شیت «داشبورد» خودش از ثبت معامله‌ها می‌خواند: درصد برد، ضریب سود، منحنی سرمایه، عملکرد هر استراتژی. چیزی برای تنظیم نیست.</t>
        </is>
      </c>
    </row>
    <row r="9" ht="50" customHeight="1">
      <c r="B9" s="3" t="inlineStr">
        <is>
          <t>۵ · هر هفته مرور کن</t>
        </is>
      </c>
      <c r="C9" s="4" t="inlineStr">
        <is>
          <t>یک‌بار در هفته داشبورد و یادداشت‌ها را کنار هم بخوان. یک الگو پیدا کن، فقط یک الگو، و هفتهٔ بعد روی همان کار کن.</t>
        </is>
      </c>
    </row>
    <row r="11">
      <c r="B11" s="5" t="inlineStr">
        <is>
          <t>چند نکته</t>
        </is>
      </c>
    </row>
    <row r="12" ht="48" customHeight="1">
      <c r="B12" s="6" t="inlineStr">
        <is>
          <t>معامله‌های نمونه</t>
        </is>
      </c>
      <c r="C12" s="7" t="inlineStr">
        <is>
          <t>چهارده معامله‌ی نمونه با برچسب «نمونه» در یادداشت آمده تا داشبورد خالی نباشد. ردیف‌هایشان را پاک کن (فقط ستون‌های بنفش؛ به فرمول‌های خاکستری دست نزن) و معامله‌های خودت را بنویس.</t>
        </is>
      </c>
    </row>
    <row r="13" ht="48" customHeight="1">
      <c r="B13" s="6" t="inlineStr">
        <is>
          <t>حساب به دلار</t>
        </is>
      </c>
      <c r="C13" s="7" t="inlineStr">
        <is>
          <t>همه‌ی محاسبه‌ها به دلار است. جفت‌ارزهایی که قیمتشان به دلار است (مثل EUR/USD)، طلا و بیت‌کوین مستقیم حساب می‌شوند؛ USD/JPY و USD/CAD و USD/CHF با قیمت ورود و خروج به دلار تبدیل می‌شوند.</t>
        </is>
      </c>
    </row>
    <row r="14" ht="48" customHeight="1">
      <c r="B14" s="6" t="inlineStr">
        <is>
          <t>جفت‌ارزهای دیگر</t>
        </is>
      </c>
      <c r="C14" s="7" t="inlineStr">
        <is>
          <t>برای جفت‌ارزهایی که دلار در آن نیست (مثل EUR/GBP) یا هر نمادی که در شیت «تنظیمات» نیست، سود یا زیان را از متاتریدر بردار و در ستون «سود/زیان دستی» بنویس؛ آن عدد بر محاسبه‌ی خودکار مقدم است.</t>
        </is>
      </c>
    </row>
    <row r="15" ht="48" customHeight="1">
      <c r="B15" s="6" t="inlineStr">
        <is>
          <t>نماد تازه</t>
        </is>
      </c>
      <c r="C15" s="7" t="inlineStr">
        <is>
          <t>نماد جدیدی می‌خواهی؟ در شیت «تنظیمات» یک ردیف به جدول نمادها اضافه کن: نام نماد، اندازه‌ی قرارداد یک لات، و USD یا BASE (BASE یعنی دلار ارز پایه است، مثل USD/JPY).</t>
        </is>
      </c>
    </row>
    <row r="16" ht="48" customHeight="1">
      <c r="B16" s="6" t="inlineStr">
        <is>
          <t>ظرفیت</t>
        </is>
      </c>
      <c r="C16" s="7" t="inlineStr">
        <is>
          <t>شیت ثبت معامله تا 500 معامله فرمول دارد. بیشتر از آن را از ردیف آخر کپی کن.</t>
        </is>
      </c>
    </row>
    <row r="17" ht="48" customHeight="1">
      <c r="B17" s="6" t="inlineStr">
        <is>
          <t>این فایل توصیهٔ مالی نیست</t>
        </is>
      </c>
      <c r="C17" s="7" t="inlineStr">
        <is>
          <t>ابزاری برای ثبت و مرور معامله‌هاست؛ سود آینده را پیش‌بینی نمی‌کند.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34D0"/>
    <outlinePr summaryBelow="1" summaryRight="1"/>
    <pageSetUpPr/>
  </sheetPr>
  <dimension ref="A1:U504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8" customWidth="1" min="3" max="3"/>
    <col width="15" customWidth="1" min="4" max="4"/>
    <col width="12" customWidth="1" min="5" max="5"/>
    <col width="12" customWidth="1" min="6" max="6"/>
    <col width="12" customWidth="1" min="7" max="7"/>
    <col width="9" customWidth="1" min="8" max="8"/>
    <col width="10" customWidth="1" min="9" max="9"/>
    <col width="13" customWidth="1" min="10" max="10"/>
    <col width="36" customWidth="1" min="11" max="11"/>
    <col width="11" customWidth="1" min="12" max="12"/>
    <col width="8" customWidth="1" min="13" max="13"/>
    <col width="11" customWidth="1" min="14" max="14"/>
    <col width="13" customWidth="1" min="15" max="15"/>
    <col width="13" customWidth="1" min="16" max="16"/>
    <col width="8" customWidth="1" min="17" max="17"/>
    <col width="10" customWidth="1" min="18" max="18"/>
    <col width="13" customWidth="1" min="19" max="19"/>
    <col width="9" customWidth="1" min="20" max="20"/>
    <col width="12" customWidth="1" min="21" max="21"/>
  </cols>
  <sheetData>
    <row r="1">
      <c r="A1" s="8" t="inlineStr">
        <is>
          <t>ثبت معامله</t>
        </is>
      </c>
    </row>
    <row r="2">
      <c r="A2" s="9" t="inlineStr">
        <is>
          <t>ستون‌های بنفش را پر کن؛ ستون‌های خاکستری خودشان حساب می‌شوند. اعداد را با کیبورد انگلیسی بنویس.</t>
        </is>
      </c>
    </row>
    <row r="3">
      <c r="A3" s="10" t="inlineStr">
        <is>
          <t>ورودی شما</t>
        </is>
      </c>
      <c r="L3" s="11" t="inlineStr">
        <is>
          <t>فرمول (دست نزن)</t>
        </is>
      </c>
    </row>
    <row r="4" ht="38" customHeight="1">
      <c r="A4" s="12" t="inlineStr">
        <is>
          <t>تاریخ</t>
        </is>
      </c>
      <c r="B4" s="12" t="inlineStr">
        <is>
          <t>نماد</t>
        </is>
      </c>
      <c r="C4" s="12" t="inlineStr">
        <is>
          <t>جهت</t>
        </is>
      </c>
      <c r="D4" s="12" t="inlineStr">
        <is>
          <t>استراتژی</t>
        </is>
      </c>
      <c r="E4" s="12" t="inlineStr">
        <is>
          <t>قیمت ورود</t>
        </is>
      </c>
      <c r="F4" s="12" t="inlineStr">
        <is>
          <t>حد ضرر</t>
        </is>
      </c>
      <c r="G4" s="12" t="inlineStr">
        <is>
          <t>قیمت خروج</t>
        </is>
      </c>
      <c r="H4" s="12" t="inlineStr">
        <is>
          <t>حجم (لات)</t>
        </is>
      </c>
      <c r="I4" s="12" t="inlineStr">
        <is>
          <t>کارمزد ($)</t>
        </is>
      </c>
      <c r="J4" s="12" t="inlineStr">
        <is>
          <t>سود/زیان دستی ($)</t>
        </is>
      </c>
      <c r="K4" s="12" t="inlineStr">
        <is>
          <t>یادداشت</t>
        </is>
      </c>
      <c r="L4" s="13" t="inlineStr">
        <is>
          <t>اندازه‌ی قرارداد</t>
        </is>
      </c>
      <c r="M4" s="13" t="inlineStr">
        <is>
          <t>نوع نماد</t>
        </is>
      </c>
      <c r="N4" s="13" t="inlineStr">
        <is>
          <t>ریسک ($)</t>
        </is>
      </c>
      <c r="O4" s="13" t="inlineStr">
        <is>
          <t>سود/زیان ناخالص ($)</t>
        </is>
      </c>
      <c r="P4" s="13" t="inlineStr">
        <is>
          <t>سود/زیان خالص ($)</t>
        </is>
      </c>
      <c r="Q4" s="13" t="inlineStr">
        <is>
          <t>R</t>
        </is>
      </c>
      <c r="R4" s="13" t="inlineStr">
        <is>
          <t>نتیجه</t>
        </is>
      </c>
      <c r="S4" s="13" t="inlineStr">
        <is>
          <t>مجموع تجمعی ($)</t>
        </is>
      </c>
      <c r="T4" s="13" t="inlineStr">
        <is>
          <t>باخت پیاپی</t>
        </is>
      </c>
      <c r="U4" s="13" t="inlineStr">
        <is>
          <t>افت از اوج ($)</t>
        </is>
      </c>
    </row>
    <row r="5">
      <c r="A5" s="14" t="n">
        <v>46027</v>
      </c>
      <c r="B5" s="15" t="inlineStr">
        <is>
          <t>EURUSD</t>
        </is>
      </c>
      <c r="C5" s="15" t="inlineStr">
        <is>
          <t>خرید</t>
        </is>
      </c>
      <c r="D5" s="15" t="inlineStr">
        <is>
          <t>پول‌بک</t>
        </is>
      </c>
      <c r="E5" s="16" t="n">
        <v>1.085</v>
      </c>
      <c r="F5" s="16" t="n">
        <v>1.082</v>
      </c>
      <c r="G5" s="16" t="n">
        <v>1.091</v>
      </c>
      <c r="H5" s="17" t="n">
        <v>0.5</v>
      </c>
      <c r="I5" s="18" t="n">
        <v>3.5</v>
      </c>
      <c r="J5" s="18" t="n"/>
      <c r="K5" s="19" t="inlineStr">
        <is>
          <t>نمونه — پول‌بک به منطقه‌ی حمایت، طبق برنامه.</t>
        </is>
      </c>
      <c r="L5" s="20">
        <f>IF($B5="","",IFERROR(VLOOKUP($B5,'تنظیمات'!$A$4:$C$43,2,FALSE),1))</f>
        <v/>
      </c>
      <c r="M5" s="21">
        <f>IF($B5="","",IFERROR(VLOOKUP($B5,'تنظیمات'!$A$4:$C$43,3,FALSE),"USD"))</f>
        <v/>
      </c>
      <c r="N5" s="22">
        <f>IF(OR($E5="",$F5="",$H5="",$L5=""),"",ABS($E5-$F5)*$H5*IF($M5="BASE",$L5/$E5,$L5))</f>
        <v/>
      </c>
      <c r="O5" s="22">
        <f>IF($J5&lt;&gt;"",$J5,IF(OR($E5="",$G5="",$H5="",$L5=""),"",($G5-$E5)*IF($C5="فروش",-1,1)*$H5*IF($M5="BASE",$L5/$G5,$L5)))</f>
        <v/>
      </c>
      <c r="P5" s="22">
        <f>IF($O5="","",$O5-N($I5))</f>
        <v/>
      </c>
      <c r="Q5" s="23">
        <f>IF(OR($P5="",$N5="",$N5=0),"",$P5/$N5)</f>
        <v/>
      </c>
      <c r="R5" s="21">
        <f>IF($P5="","",IF($P5&gt;0,"برد",IF($P5&lt;0,"باخت","سر به سر")))</f>
        <v/>
      </c>
      <c r="S5" s="22">
        <f>IF($P5="","",SUM($P$5:$P5))</f>
        <v/>
      </c>
      <c r="T5" s="24">
        <f>IF($R5="باخت",1,0)</f>
        <v/>
      </c>
      <c r="U5" s="22">
        <f>IF($S5="","",$S5-MAX($S$5:$S5))</f>
        <v/>
      </c>
    </row>
    <row r="6">
      <c r="A6" s="14" t="n">
        <v>46028</v>
      </c>
      <c r="B6" s="15" t="inlineStr">
        <is>
          <t>XAUUSD</t>
        </is>
      </c>
      <c r="C6" s="15" t="inlineStr">
        <is>
          <t>فروش</t>
        </is>
      </c>
      <c r="D6" s="15" t="inlineStr">
        <is>
          <t>شکست</t>
        </is>
      </c>
      <c r="E6" s="16" t="n">
        <v>2045</v>
      </c>
      <c r="F6" s="16" t="n">
        <v>2052</v>
      </c>
      <c r="G6" s="16" t="n">
        <v>2038</v>
      </c>
      <c r="H6" s="17" t="n">
        <v>0.1</v>
      </c>
      <c r="I6" s="18" t="n">
        <v>2</v>
      </c>
      <c r="J6" s="18" t="n"/>
      <c r="K6" s="19" t="inlineStr">
        <is>
          <t>نمونه — شکست کف روزانه، ورود بعد از تأیید.</t>
        </is>
      </c>
      <c r="L6" s="20">
        <f>IF($B6="","",IFERROR(VLOOKUP($B6,'تنظیمات'!$A$4:$C$43,2,FALSE),1))</f>
        <v/>
      </c>
      <c r="M6" s="21">
        <f>IF($B6="","",IFERROR(VLOOKUP($B6,'تنظیمات'!$A$4:$C$43,3,FALSE),"USD"))</f>
        <v/>
      </c>
      <c r="N6" s="22">
        <f>IF(OR($E6="",$F6="",$H6="",$L6=""),"",ABS($E6-$F6)*$H6*IF($M6="BASE",$L6/$E6,$L6))</f>
        <v/>
      </c>
      <c r="O6" s="22">
        <f>IF($J6&lt;&gt;"",$J6,IF(OR($E6="",$G6="",$H6="",$L6=""),"",($G6-$E6)*IF($C6="فروش",-1,1)*$H6*IF($M6="BASE",$L6/$G6,$L6)))</f>
        <v/>
      </c>
      <c r="P6" s="22">
        <f>IF($O6="","",$O6-N($I6))</f>
        <v/>
      </c>
      <c r="Q6" s="23">
        <f>IF(OR($P6="",$N6="",$N6=0),"",$P6/$N6)</f>
        <v/>
      </c>
      <c r="R6" s="21">
        <f>IF($P6="","",IF($P6&gt;0,"برد",IF($P6&lt;0,"باخت","سر به سر")))</f>
        <v/>
      </c>
      <c r="S6" s="22">
        <f>IF($P6="","",SUM($P$5:$P6))</f>
        <v/>
      </c>
      <c r="T6" s="24">
        <f>IF($R6="باخت",N($T5)+1,0)</f>
        <v/>
      </c>
      <c r="U6" s="22">
        <f>IF($S6="","",$S6-MAX($S$5:$S6))</f>
        <v/>
      </c>
    </row>
    <row r="7">
      <c r="A7" s="14" t="n">
        <v>46029</v>
      </c>
      <c r="B7" s="15" t="inlineStr">
        <is>
          <t>GBPUSD</t>
        </is>
      </c>
      <c r="C7" s="15" t="inlineStr">
        <is>
          <t>خرید</t>
        </is>
      </c>
      <c r="D7" s="15" t="inlineStr">
        <is>
          <t>روند</t>
        </is>
      </c>
      <c r="E7" s="16" t="n">
        <v>1.271</v>
      </c>
      <c r="F7" s="16" t="n">
        <v>1.268</v>
      </c>
      <c r="G7" s="16" t="n">
        <v>1.2685</v>
      </c>
      <c r="H7" s="17" t="n">
        <v>0.4</v>
      </c>
      <c r="I7" s="18" t="n">
        <v>3</v>
      </c>
      <c r="J7" s="18" t="n"/>
      <c r="K7" s="19" t="inlineStr">
        <is>
          <t>نمونه — دیر وارد شدم، حد ضرر خورد.</t>
        </is>
      </c>
      <c r="L7" s="20">
        <f>IF($B7="","",IFERROR(VLOOKUP($B7,'تنظیمات'!$A$4:$C$43,2,FALSE),1))</f>
        <v/>
      </c>
      <c r="M7" s="21">
        <f>IF($B7="","",IFERROR(VLOOKUP($B7,'تنظیمات'!$A$4:$C$43,3,FALSE),"USD"))</f>
        <v/>
      </c>
      <c r="N7" s="22">
        <f>IF(OR($E7="",$F7="",$H7="",$L7=""),"",ABS($E7-$F7)*$H7*IF($M7="BASE",$L7/$E7,$L7))</f>
        <v/>
      </c>
      <c r="O7" s="22">
        <f>IF($J7&lt;&gt;"",$J7,IF(OR($E7="",$G7="",$H7="",$L7=""),"",($G7-$E7)*IF($C7="فروش",-1,1)*$H7*IF($M7="BASE",$L7/$G7,$L7)))</f>
        <v/>
      </c>
      <c r="P7" s="22">
        <f>IF($O7="","",$O7-N($I7))</f>
        <v/>
      </c>
      <c r="Q7" s="23">
        <f>IF(OR($P7="",$N7="",$N7=0),"",$P7/$N7)</f>
        <v/>
      </c>
      <c r="R7" s="21">
        <f>IF($P7="","",IF($P7&gt;0,"برد",IF($P7&lt;0,"باخت","سر به سر")))</f>
        <v/>
      </c>
      <c r="S7" s="22">
        <f>IF($P7="","",SUM($P$5:$P7))</f>
        <v/>
      </c>
      <c r="T7" s="24">
        <f>IF($R7="باخت",N($T6)+1,0)</f>
        <v/>
      </c>
      <c r="U7" s="22">
        <f>IF($S7="","",$S7-MAX($S$5:$S7))</f>
        <v/>
      </c>
    </row>
    <row r="8">
      <c r="A8" s="14" t="n">
        <v>46030</v>
      </c>
      <c r="B8" s="15" t="inlineStr">
        <is>
          <t>USDJPY</t>
        </is>
      </c>
      <c r="C8" s="15" t="inlineStr">
        <is>
          <t>فروش</t>
        </is>
      </c>
      <c r="D8" s="15" t="inlineStr">
        <is>
          <t>پول‌بک</t>
        </is>
      </c>
      <c r="E8" s="16" t="n">
        <v>147.8</v>
      </c>
      <c r="F8" s="16" t="n">
        <v>148.3</v>
      </c>
      <c r="G8" s="16" t="n">
        <v>147.1</v>
      </c>
      <c r="H8" s="17" t="n">
        <v>0.3</v>
      </c>
      <c r="I8" s="18" t="n">
        <v>3</v>
      </c>
      <c r="J8" s="18" t="n"/>
      <c r="K8" s="19" t="inlineStr">
        <is>
          <t>نمونه — سیگنال تمیز، حجم درست.</t>
        </is>
      </c>
      <c r="L8" s="20">
        <f>IF($B8="","",IFERROR(VLOOKUP($B8,'تنظیمات'!$A$4:$C$43,2,FALSE),1))</f>
        <v/>
      </c>
      <c r="M8" s="21">
        <f>IF($B8="","",IFERROR(VLOOKUP($B8,'تنظیمات'!$A$4:$C$43,3,FALSE),"USD"))</f>
        <v/>
      </c>
      <c r="N8" s="22">
        <f>IF(OR($E8="",$F8="",$H8="",$L8=""),"",ABS($E8-$F8)*$H8*IF($M8="BASE",$L8/$E8,$L8))</f>
        <v/>
      </c>
      <c r="O8" s="22">
        <f>IF($J8&lt;&gt;"",$J8,IF(OR($E8="",$G8="",$H8="",$L8=""),"",($G8-$E8)*IF($C8="فروش",-1,1)*$H8*IF($M8="BASE",$L8/$G8,$L8)))</f>
        <v/>
      </c>
      <c r="P8" s="22">
        <f>IF($O8="","",$O8-N($I8))</f>
        <v/>
      </c>
      <c r="Q8" s="23">
        <f>IF(OR($P8="",$N8="",$N8=0),"",$P8/$N8)</f>
        <v/>
      </c>
      <c r="R8" s="21">
        <f>IF($P8="","",IF($P8&gt;0,"برد",IF($P8&lt;0,"باخت","سر به سر")))</f>
        <v/>
      </c>
      <c r="S8" s="22">
        <f>IF($P8="","",SUM($P$5:$P8))</f>
        <v/>
      </c>
      <c r="T8" s="24">
        <f>IF($R8="باخت",N($T7)+1,0)</f>
        <v/>
      </c>
      <c r="U8" s="22">
        <f>IF($S8="","",$S8-MAX($S$5:$S8))</f>
        <v/>
      </c>
    </row>
    <row r="9">
      <c r="A9" s="14" t="n">
        <v>46031</v>
      </c>
      <c r="B9" s="15" t="inlineStr">
        <is>
          <t>NAS100</t>
        </is>
      </c>
      <c r="C9" s="15" t="inlineStr">
        <is>
          <t>خرید</t>
        </is>
      </c>
      <c r="D9" s="15" t="inlineStr">
        <is>
          <t>شکست</t>
        </is>
      </c>
      <c r="E9" s="16" t="n">
        <v>17000</v>
      </c>
      <c r="F9" s="16" t="n">
        <v>16960</v>
      </c>
      <c r="G9" s="16" t="n">
        <v>17090</v>
      </c>
      <c r="H9" s="17" t="n">
        <v>2</v>
      </c>
      <c r="I9" s="18" t="n">
        <v>2</v>
      </c>
      <c r="J9" s="18" t="n"/>
      <c r="K9" s="19" t="inlineStr">
        <is>
          <t>نمونه — شکست سقف جلسه‌ی آسیا.</t>
        </is>
      </c>
      <c r="L9" s="20">
        <f>IF($B9="","",IFERROR(VLOOKUP($B9,'تنظیمات'!$A$4:$C$43,2,FALSE),1))</f>
        <v/>
      </c>
      <c r="M9" s="21">
        <f>IF($B9="","",IFERROR(VLOOKUP($B9,'تنظیمات'!$A$4:$C$43,3,FALSE),"USD"))</f>
        <v/>
      </c>
      <c r="N9" s="22">
        <f>IF(OR($E9="",$F9="",$H9="",$L9=""),"",ABS($E9-$F9)*$H9*IF($M9="BASE",$L9/$E9,$L9))</f>
        <v/>
      </c>
      <c r="O9" s="22">
        <f>IF($J9&lt;&gt;"",$J9,IF(OR($E9="",$G9="",$H9="",$L9=""),"",($G9-$E9)*IF($C9="فروش",-1,1)*$H9*IF($M9="BASE",$L9/$G9,$L9)))</f>
        <v/>
      </c>
      <c r="P9" s="22">
        <f>IF($O9="","",$O9-N($I9))</f>
        <v/>
      </c>
      <c r="Q9" s="23">
        <f>IF(OR($P9="",$N9="",$N9=0),"",$P9/$N9)</f>
        <v/>
      </c>
      <c r="R9" s="21">
        <f>IF($P9="","",IF($P9&gt;0,"برد",IF($P9&lt;0,"باخت","سر به سر")))</f>
        <v/>
      </c>
      <c r="S9" s="22">
        <f>IF($P9="","",SUM($P$5:$P9))</f>
        <v/>
      </c>
      <c r="T9" s="24">
        <f>IF($R9="باخت",N($T8)+1,0)</f>
        <v/>
      </c>
      <c r="U9" s="22">
        <f>IF($S9="","",$S9-MAX($S$5:$S9))</f>
        <v/>
      </c>
    </row>
    <row r="10">
      <c r="A10" s="14" t="n">
        <v>46034</v>
      </c>
      <c r="B10" s="15" t="inlineStr">
        <is>
          <t>EURUSD</t>
        </is>
      </c>
      <c r="C10" s="15" t="inlineStr">
        <is>
          <t>خرید</t>
        </is>
      </c>
      <c r="D10" s="15" t="inlineStr">
        <is>
          <t>روند</t>
        </is>
      </c>
      <c r="E10" s="16" t="n">
        <v>1.09</v>
      </c>
      <c r="F10" s="16" t="n">
        <v>1.087</v>
      </c>
      <c r="G10" s="16" t="n">
        <v>1.0885</v>
      </c>
      <c r="H10" s="17" t="n">
        <v>0.5</v>
      </c>
      <c r="I10" s="18" t="n">
        <v>3.5</v>
      </c>
      <c r="J10" s="18" t="n"/>
      <c r="K10" s="19" t="inlineStr">
        <is>
          <t>نمونه — با احساس وارد شدم، قانون‌هایم را نادیده گرفتم.</t>
        </is>
      </c>
      <c r="L10" s="20">
        <f>IF($B10="","",IFERROR(VLOOKUP($B10,'تنظیمات'!$A$4:$C$43,2,FALSE),1))</f>
        <v/>
      </c>
      <c r="M10" s="21">
        <f>IF($B10="","",IFERROR(VLOOKUP($B10,'تنظیمات'!$A$4:$C$43,3,FALSE),"USD"))</f>
        <v/>
      </c>
      <c r="N10" s="22">
        <f>IF(OR($E10="",$F10="",$H10="",$L10=""),"",ABS($E10-$F10)*$H10*IF($M10="BASE",$L10/$E10,$L10))</f>
        <v/>
      </c>
      <c r="O10" s="22">
        <f>IF($J10&lt;&gt;"",$J10,IF(OR($E10="",$G10="",$H10="",$L10=""),"",($G10-$E10)*IF($C10="فروش",-1,1)*$H10*IF($M10="BASE",$L10/$G10,$L10)))</f>
        <v/>
      </c>
      <c r="P10" s="22">
        <f>IF($O10="","",$O10-N($I10))</f>
        <v/>
      </c>
      <c r="Q10" s="23">
        <f>IF(OR($P10="",$N10="",$N10=0),"",$P10/$N10)</f>
        <v/>
      </c>
      <c r="R10" s="21">
        <f>IF($P10="","",IF($P10&gt;0,"برد",IF($P10&lt;0,"باخت","سر به سر")))</f>
        <v/>
      </c>
      <c r="S10" s="22">
        <f>IF($P10="","",SUM($P$5:$P10))</f>
        <v/>
      </c>
      <c r="T10" s="24">
        <f>IF($R10="باخت",N($T9)+1,0)</f>
        <v/>
      </c>
      <c r="U10" s="22">
        <f>IF($S10="","",$S10-MAX($S$5:$S10))</f>
        <v/>
      </c>
    </row>
    <row r="11">
      <c r="A11" s="14" t="n">
        <v>46035</v>
      </c>
      <c r="B11" s="15" t="inlineStr">
        <is>
          <t>XAUUSD</t>
        </is>
      </c>
      <c r="C11" s="15" t="inlineStr">
        <is>
          <t>خرید</t>
        </is>
      </c>
      <c r="D11" s="15" t="inlineStr">
        <is>
          <t>پول‌بک</t>
        </is>
      </c>
      <c r="E11" s="16" t="n">
        <v>2030</v>
      </c>
      <c r="F11" s="16" t="n">
        <v>2022</v>
      </c>
      <c r="G11" s="16" t="n">
        <v>2046</v>
      </c>
      <c r="H11" s="17" t="n">
        <v>0.1</v>
      </c>
      <c r="I11" s="18" t="n">
        <v>2</v>
      </c>
      <c r="J11" s="18" t="n"/>
      <c r="K11" s="19" t="inlineStr">
        <is>
          <t>نمونه — دو برابر ریسک، آرام و طبق برنامه.</t>
        </is>
      </c>
      <c r="L11" s="20">
        <f>IF($B11="","",IFERROR(VLOOKUP($B11,'تنظیمات'!$A$4:$C$43,2,FALSE),1))</f>
        <v/>
      </c>
      <c r="M11" s="21">
        <f>IF($B11="","",IFERROR(VLOOKUP($B11,'تنظیمات'!$A$4:$C$43,3,FALSE),"USD"))</f>
        <v/>
      </c>
      <c r="N11" s="22">
        <f>IF(OR($E11="",$F11="",$H11="",$L11=""),"",ABS($E11-$F11)*$H11*IF($M11="BASE",$L11/$E11,$L11))</f>
        <v/>
      </c>
      <c r="O11" s="22">
        <f>IF($J11&lt;&gt;"",$J11,IF(OR($E11="",$G11="",$H11="",$L11=""),"",($G11-$E11)*IF($C11="فروش",-1,1)*$H11*IF($M11="BASE",$L11/$G11,$L11)))</f>
        <v/>
      </c>
      <c r="P11" s="22">
        <f>IF($O11="","",$O11-N($I11))</f>
        <v/>
      </c>
      <c r="Q11" s="23">
        <f>IF(OR($P11="",$N11="",$N11=0),"",$P11/$N11)</f>
        <v/>
      </c>
      <c r="R11" s="21">
        <f>IF($P11="","",IF($P11&gt;0,"برد",IF($P11&lt;0,"باخت","سر به سر")))</f>
        <v/>
      </c>
      <c r="S11" s="22">
        <f>IF($P11="","",SUM($P$5:$P11))</f>
        <v/>
      </c>
      <c r="T11" s="24">
        <f>IF($R11="باخت",N($T10)+1,0)</f>
        <v/>
      </c>
      <c r="U11" s="22">
        <f>IF($S11="","",$S11-MAX($S$5:$S11))</f>
        <v/>
      </c>
    </row>
    <row r="12">
      <c r="A12" s="14" t="n">
        <v>46036</v>
      </c>
      <c r="B12" s="15" t="inlineStr">
        <is>
          <t>USDJPY</t>
        </is>
      </c>
      <c r="C12" s="15" t="inlineStr">
        <is>
          <t>خرید</t>
        </is>
      </c>
      <c r="D12" s="15" t="inlineStr">
        <is>
          <t>شکست</t>
        </is>
      </c>
      <c r="E12" s="16" t="n">
        <v>148.5</v>
      </c>
      <c r="F12" s="16" t="n">
        <v>148</v>
      </c>
      <c r="G12" s="16" t="n">
        <v>148</v>
      </c>
      <c r="H12" s="17" t="n">
        <v>0.3</v>
      </c>
      <c r="I12" s="18" t="n">
        <v>3</v>
      </c>
      <c r="J12" s="18" t="n"/>
      <c r="K12" s="19" t="inlineStr">
        <is>
          <t>نمونه — شکست کاذب.</t>
        </is>
      </c>
      <c r="L12" s="20">
        <f>IF($B12="","",IFERROR(VLOOKUP($B12,'تنظیمات'!$A$4:$C$43,2,FALSE),1))</f>
        <v/>
      </c>
      <c r="M12" s="21">
        <f>IF($B12="","",IFERROR(VLOOKUP($B12,'تنظیمات'!$A$4:$C$43,3,FALSE),"USD"))</f>
        <v/>
      </c>
      <c r="N12" s="22">
        <f>IF(OR($E12="",$F12="",$H12="",$L12=""),"",ABS($E12-$F12)*$H12*IF($M12="BASE",$L12/$E12,$L12))</f>
        <v/>
      </c>
      <c r="O12" s="22">
        <f>IF($J12&lt;&gt;"",$J12,IF(OR($E12="",$G12="",$H12="",$L12=""),"",($G12-$E12)*IF($C12="فروش",-1,1)*$H12*IF($M12="BASE",$L12/$G12,$L12)))</f>
        <v/>
      </c>
      <c r="P12" s="22">
        <f>IF($O12="","",$O12-N($I12))</f>
        <v/>
      </c>
      <c r="Q12" s="23">
        <f>IF(OR($P12="",$N12="",$N12=0),"",$P12/$N12)</f>
        <v/>
      </c>
      <c r="R12" s="21">
        <f>IF($P12="","",IF($P12&gt;0,"برد",IF($P12&lt;0,"باخت","سر به سر")))</f>
        <v/>
      </c>
      <c r="S12" s="22">
        <f>IF($P12="","",SUM($P$5:$P12))</f>
        <v/>
      </c>
      <c r="T12" s="24">
        <f>IF($R12="باخت",N($T11)+1,0)</f>
        <v/>
      </c>
      <c r="U12" s="22">
        <f>IF($S12="","",$S12-MAX($S$5:$S12))</f>
        <v/>
      </c>
    </row>
    <row r="13">
      <c r="A13" s="14" t="n">
        <v>46037</v>
      </c>
      <c r="B13" s="15" t="inlineStr">
        <is>
          <t>GBPUSD</t>
        </is>
      </c>
      <c r="C13" s="15" t="inlineStr">
        <is>
          <t>فروش</t>
        </is>
      </c>
      <c r="D13" s="15" t="inlineStr">
        <is>
          <t>پول‌بک</t>
        </is>
      </c>
      <c r="E13" s="16" t="n">
        <v>1.275</v>
      </c>
      <c r="F13" s="16" t="n">
        <v>1.279</v>
      </c>
      <c r="G13" s="16" t="n">
        <v>1.269</v>
      </c>
      <c r="H13" s="17" t="n">
        <v>0.4</v>
      </c>
      <c r="I13" s="18" t="n">
        <v>3</v>
      </c>
      <c r="J13" s="18" t="n"/>
      <c r="K13" s="19" t="inlineStr">
        <is>
          <t>نمونه — صبر کردم تا قیمت برگردد.</t>
        </is>
      </c>
      <c r="L13" s="20">
        <f>IF($B13="","",IFERROR(VLOOKUP($B13,'تنظیمات'!$A$4:$C$43,2,FALSE),1))</f>
        <v/>
      </c>
      <c r="M13" s="21">
        <f>IF($B13="","",IFERROR(VLOOKUP($B13,'تنظیمات'!$A$4:$C$43,3,FALSE),"USD"))</f>
        <v/>
      </c>
      <c r="N13" s="22">
        <f>IF(OR($E13="",$F13="",$H13="",$L13=""),"",ABS($E13-$F13)*$H13*IF($M13="BASE",$L13/$E13,$L13))</f>
        <v/>
      </c>
      <c r="O13" s="22">
        <f>IF($J13&lt;&gt;"",$J13,IF(OR($E13="",$G13="",$H13="",$L13=""),"",($G13-$E13)*IF($C13="فروش",-1,1)*$H13*IF($M13="BASE",$L13/$G13,$L13)))</f>
        <v/>
      </c>
      <c r="P13" s="22">
        <f>IF($O13="","",$O13-N($I13))</f>
        <v/>
      </c>
      <c r="Q13" s="23">
        <f>IF(OR($P13="",$N13="",$N13=0),"",$P13/$N13)</f>
        <v/>
      </c>
      <c r="R13" s="21">
        <f>IF($P13="","",IF($P13&gt;0,"برد",IF($P13&lt;0,"باخت","سر به سر")))</f>
        <v/>
      </c>
      <c r="S13" s="22">
        <f>IF($P13="","",SUM($P$5:$P13))</f>
        <v/>
      </c>
      <c r="T13" s="24">
        <f>IF($R13="باخت",N($T12)+1,0)</f>
        <v/>
      </c>
      <c r="U13" s="22">
        <f>IF($S13="","",$S13-MAX($S$5:$S13))</f>
        <v/>
      </c>
    </row>
    <row r="14">
      <c r="A14" s="14" t="n">
        <v>46038</v>
      </c>
      <c r="B14" s="15" t="inlineStr">
        <is>
          <t>EURUSD</t>
        </is>
      </c>
      <c r="C14" s="15" t="inlineStr">
        <is>
          <t>فروش</t>
        </is>
      </c>
      <c r="D14" s="15" t="inlineStr">
        <is>
          <t>سایر</t>
        </is>
      </c>
      <c r="E14" s="16" t="n">
        <v>1.088</v>
      </c>
      <c r="F14" s="16" t="n">
        <v>1.091</v>
      </c>
      <c r="G14" s="16" t="n">
        <v>1.0895</v>
      </c>
      <c r="H14" s="17" t="n">
        <v>0.5</v>
      </c>
      <c r="I14" s="18" t="n">
        <v>3.5</v>
      </c>
      <c r="J14" s="18" t="n"/>
      <c r="K14" s="19" t="inlineStr">
        <is>
          <t>نمونه — خارج از ستاپ، نباید می‌گرفتمش.</t>
        </is>
      </c>
      <c r="L14" s="20">
        <f>IF($B14="","",IFERROR(VLOOKUP($B14,'تنظیمات'!$A$4:$C$43,2,FALSE),1))</f>
        <v/>
      </c>
      <c r="M14" s="21">
        <f>IF($B14="","",IFERROR(VLOOKUP($B14,'تنظیمات'!$A$4:$C$43,3,FALSE),"USD"))</f>
        <v/>
      </c>
      <c r="N14" s="22">
        <f>IF(OR($E14="",$F14="",$H14="",$L14=""),"",ABS($E14-$F14)*$H14*IF($M14="BASE",$L14/$E14,$L14))</f>
        <v/>
      </c>
      <c r="O14" s="22">
        <f>IF($J14&lt;&gt;"",$J14,IF(OR($E14="",$G14="",$H14="",$L14=""),"",($G14-$E14)*IF($C14="فروش",-1,1)*$H14*IF($M14="BASE",$L14/$G14,$L14)))</f>
        <v/>
      </c>
      <c r="P14" s="22">
        <f>IF($O14="","",$O14-N($I14))</f>
        <v/>
      </c>
      <c r="Q14" s="23">
        <f>IF(OR($P14="",$N14="",$N14=0),"",$P14/$N14)</f>
        <v/>
      </c>
      <c r="R14" s="21">
        <f>IF($P14="","",IF($P14&gt;0,"برد",IF($P14&lt;0,"باخت","سر به سر")))</f>
        <v/>
      </c>
      <c r="S14" s="22">
        <f>IF($P14="","",SUM($P$5:$P14))</f>
        <v/>
      </c>
      <c r="T14" s="24">
        <f>IF($R14="باخت",N($T13)+1,0)</f>
        <v/>
      </c>
      <c r="U14" s="22">
        <f>IF($S14="","",$S14-MAX($S$5:$S14))</f>
        <v/>
      </c>
    </row>
    <row r="15">
      <c r="A15" s="14" t="n">
        <v>46041</v>
      </c>
      <c r="B15" s="15" t="inlineStr">
        <is>
          <t>XAUUSD</t>
        </is>
      </c>
      <c r="C15" s="15" t="inlineStr">
        <is>
          <t>فروش</t>
        </is>
      </c>
      <c r="D15" s="15" t="inlineStr">
        <is>
          <t>شکست</t>
        </is>
      </c>
      <c r="E15" s="16" t="n">
        <v>2060</v>
      </c>
      <c r="F15" s="16" t="n">
        <v>2068</v>
      </c>
      <c r="G15" s="16" t="n">
        <v>2070</v>
      </c>
      <c r="H15" s="17" t="n">
        <v>0.1</v>
      </c>
      <c r="I15" s="18" t="n">
        <v>2</v>
      </c>
      <c r="J15" s="18" t="n"/>
      <c r="K15" s="19" t="inlineStr">
        <is>
          <t>نمونه — حد ضرر را جابه‌جا کردم و همان خورد.</t>
        </is>
      </c>
      <c r="L15" s="20">
        <f>IF($B15="","",IFERROR(VLOOKUP($B15,'تنظیمات'!$A$4:$C$43,2,FALSE),1))</f>
        <v/>
      </c>
      <c r="M15" s="21">
        <f>IF($B15="","",IFERROR(VLOOKUP($B15,'تنظیمات'!$A$4:$C$43,3,FALSE),"USD"))</f>
        <v/>
      </c>
      <c r="N15" s="22">
        <f>IF(OR($E15="",$F15="",$H15="",$L15=""),"",ABS($E15-$F15)*$H15*IF($M15="BASE",$L15/$E15,$L15))</f>
        <v/>
      </c>
      <c r="O15" s="22">
        <f>IF($J15&lt;&gt;"",$J15,IF(OR($E15="",$G15="",$H15="",$L15=""),"",($G15-$E15)*IF($C15="فروش",-1,1)*$H15*IF($M15="BASE",$L15/$G15,$L15)))</f>
        <v/>
      </c>
      <c r="P15" s="22">
        <f>IF($O15="","",$O15-N($I15))</f>
        <v/>
      </c>
      <c r="Q15" s="23">
        <f>IF(OR($P15="",$N15="",$N15=0),"",$P15/$N15)</f>
        <v/>
      </c>
      <c r="R15" s="21">
        <f>IF($P15="","",IF($P15&gt;0,"برد",IF($P15&lt;0,"باخت","سر به سر")))</f>
        <v/>
      </c>
      <c r="S15" s="22">
        <f>IF($P15="","",SUM($P$5:$P15))</f>
        <v/>
      </c>
      <c r="T15" s="24">
        <f>IF($R15="باخت",N($T14)+1,0)</f>
        <v/>
      </c>
      <c r="U15" s="22">
        <f>IF($S15="","",$S15-MAX($S$5:$S15))</f>
        <v/>
      </c>
    </row>
    <row r="16">
      <c r="A16" s="14" t="n">
        <v>46042</v>
      </c>
      <c r="B16" s="15" t="inlineStr">
        <is>
          <t>NAS100</t>
        </is>
      </c>
      <c r="C16" s="15" t="inlineStr">
        <is>
          <t>فروش</t>
        </is>
      </c>
      <c r="D16" s="15" t="inlineStr">
        <is>
          <t>پول‌بک</t>
        </is>
      </c>
      <c r="E16" s="16" t="n">
        <v>17300</v>
      </c>
      <c r="F16" s="16" t="n">
        <v>17350</v>
      </c>
      <c r="G16" s="16" t="n">
        <v>17180</v>
      </c>
      <c r="H16" s="17" t="n">
        <v>2</v>
      </c>
      <c r="I16" s="18" t="n">
        <v>2</v>
      </c>
      <c r="J16" s="18" t="n"/>
      <c r="K16" s="19" t="inlineStr">
        <is>
          <t>نمونه — بهترین معامله‌ی ماه.</t>
        </is>
      </c>
      <c r="L16" s="20">
        <f>IF($B16="","",IFERROR(VLOOKUP($B16,'تنظیمات'!$A$4:$C$43,2,FALSE),1))</f>
        <v/>
      </c>
      <c r="M16" s="21">
        <f>IF($B16="","",IFERROR(VLOOKUP($B16,'تنظیمات'!$A$4:$C$43,3,FALSE),"USD"))</f>
        <v/>
      </c>
      <c r="N16" s="22">
        <f>IF(OR($E16="",$F16="",$H16="",$L16=""),"",ABS($E16-$F16)*$H16*IF($M16="BASE",$L16/$E16,$L16))</f>
        <v/>
      </c>
      <c r="O16" s="22">
        <f>IF($J16&lt;&gt;"",$J16,IF(OR($E16="",$G16="",$H16="",$L16=""),"",($G16-$E16)*IF($C16="فروش",-1,1)*$H16*IF($M16="BASE",$L16/$G16,$L16)))</f>
        <v/>
      </c>
      <c r="P16" s="22">
        <f>IF($O16="","",$O16-N($I16))</f>
        <v/>
      </c>
      <c r="Q16" s="23">
        <f>IF(OR($P16="",$N16="",$N16=0),"",$P16/$N16)</f>
        <v/>
      </c>
      <c r="R16" s="21">
        <f>IF($P16="","",IF($P16&gt;0,"برد",IF($P16&lt;0,"باخت","سر به سر")))</f>
        <v/>
      </c>
      <c r="S16" s="22">
        <f>IF($P16="","",SUM($P$5:$P16))</f>
        <v/>
      </c>
      <c r="T16" s="24">
        <f>IF($R16="باخت",N($T15)+1,0)</f>
        <v/>
      </c>
      <c r="U16" s="22">
        <f>IF($S16="","",$S16-MAX($S$5:$S16))</f>
        <v/>
      </c>
    </row>
    <row r="17">
      <c r="A17" s="14" t="n">
        <v>46043</v>
      </c>
      <c r="B17" s="15" t="inlineStr">
        <is>
          <t>EURUSD</t>
        </is>
      </c>
      <c r="C17" s="15" t="inlineStr">
        <is>
          <t>خرید</t>
        </is>
      </c>
      <c r="D17" s="15" t="inlineStr">
        <is>
          <t>روند</t>
        </is>
      </c>
      <c r="E17" s="16" t="n">
        <v>1.081</v>
      </c>
      <c r="F17" s="16" t="n">
        <v>1.0785</v>
      </c>
      <c r="G17" s="16" t="n">
        <v>1.0845</v>
      </c>
      <c r="H17" s="17" t="n">
        <v>0.6</v>
      </c>
      <c r="I17" s="18" t="n">
        <v>4.2</v>
      </c>
      <c r="J17" s="18" t="n"/>
      <c r="K17" s="19" t="inlineStr">
        <is>
          <t>نمونه — روند روزانه صعودی بود.</t>
        </is>
      </c>
      <c r="L17" s="20">
        <f>IF($B17="","",IFERROR(VLOOKUP($B17,'تنظیمات'!$A$4:$C$43,2,FALSE),1))</f>
        <v/>
      </c>
      <c r="M17" s="21">
        <f>IF($B17="","",IFERROR(VLOOKUP($B17,'تنظیمات'!$A$4:$C$43,3,FALSE),"USD"))</f>
        <v/>
      </c>
      <c r="N17" s="22">
        <f>IF(OR($E17="",$F17="",$H17="",$L17=""),"",ABS($E17-$F17)*$H17*IF($M17="BASE",$L17/$E17,$L17))</f>
        <v/>
      </c>
      <c r="O17" s="22">
        <f>IF($J17&lt;&gt;"",$J17,IF(OR($E17="",$G17="",$H17="",$L17=""),"",($G17-$E17)*IF($C17="فروش",-1,1)*$H17*IF($M17="BASE",$L17/$G17,$L17)))</f>
        <v/>
      </c>
      <c r="P17" s="22">
        <f>IF($O17="","",$O17-N($I17))</f>
        <v/>
      </c>
      <c r="Q17" s="23">
        <f>IF(OR($P17="",$N17="",$N17=0),"",$P17/$N17)</f>
        <v/>
      </c>
      <c r="R17" s="21">
        <f>IF($P17="","",IF($P17&gt;0,"برد",IF($P17&lt;0,"باخت","سر به سر")))</f>
        <v/>
      </c>
      <c r="S17" s="22">
        <f>IF($P17="","",SUM($P$5:$P17))</f>
        <v/>
      </c>
      <c r="T17" s="24">
        <f>IF($R17="باخت",N($T16)+1,0)</f>
        <v/>
      </c>
      <c r="U17" s="22">
        <f>IF($S17="","",$S17-MAX($S$5:$S17))</f>
        <v/>
      </c>
    </row>
    <row r="18">
      <c r="A18" s="14" t="n">
        <v>46044</v>
      </c>
      <c r="B18" s="15" t="inlineStr">
        <is>
          <t>GBPUSD</t>
        </is>
      </c>
      <c r="C18" s="15" t="inlineStr">
        <is>
          <t>خرید</t>
        </is>
      </c>
      <c r="D18" s="15" t="inlineStr">
        <is>
          <t>شکست</t>
        </is>
      </c>
      <c r="E18" s="16" t="n">
        <v>1.27</v>
      </c>
      <c r="F18" s="16" t="n">
        <v>1.267</v>
      </c>
      <c r="G18" s="16" t="n">
        <v>1.267</v>
      </c>
      <c r="H18" s="17" t="n">
        <v>0.4</v>
      </c>
      <c r="I18" s="18" t="n">
        <v>3</v>
      </c>
      <c r="J18" s="18" t="n"/>
      <c r="K18" s="19" t="inlineStr">
        <is>
          <t>نمونه — بعد از خبر وارد شدم.</t>
        </is>
      </c>
      <c r="L18" s="20">
        <f>IF($B18="","",IFERROR(VLOOKUP($B18,'تنظیمات'!$A$4:$C$43,2,FALSE),1))</f>
        <v/>
      </c>
      <c r="M18" s="21">
        <f>IF($B18="","",IFERROR(VLOOKUP($B18,'تنظیمات'!$A$4:$C$43,3,FALSE),"USD"))</f>
        <v/>
      </c>
      <c r="N18" s="22">
        <f>IF(OR($E18="",$F18="",$H18="",$L18=""),"",ABS($E18-$F18)*$H18*IF($M18="BASE",$L18/$E18,$L18))</f>
        <v/>
      </c>
      <c r="O18" s="22">
        <f>IF($J18&lt;&gt;"",$J18,IF(OR($E18="",$G18="",$H18="",$L18=""),"",($G18-$E18)*IF($C18="فروش",-1,1)*$H18*IF($M18="BASE",$L18/$G18,$L18)))</f>
        <v/>
      </c>
      <c r="P18" s="22">
        <f>IF($O18="","",$O18-N($I18))</f>
        <v/>
      </c>
      <c r="Q18" s="23">
        <f>IF(OR($P18="",$N18="",$N18=0),"",$P18/$N18)</f>
        <v/>
      </c>
      <c r="R18" s="21">
        <f>IF($P18="","",IF($P18&gt;0,"برد",IF($P18&lt;0,"باخت","سر به سر")))</f>
        <v/>
      </c>
      <c r="S18" s="22">
        <f>IF($P18="","",SUM($P$5:$P18))</f>
        <v/>
      </c>
      <c r="T18" s="24">
        <f>IF($R18="باخت",N($T17)+1,0)</f>
        <v/>
      </c>
      <c r="U18" s="22">
        <f>IF($S18="","",$S18-MAX($S$5:$S18))</f>
        <v/>
      </c>
    </row>
    <row r="19">
      <c r="A19" s="14" t="n"/>
      <c r="B19" s="15" t="n"/>
      <c r="C19" s="15" t="n"/>
      <c r="D19" s="15" t="n"/>
      <c r="E19" s="16" t="n"/>
      <c r="F19" s="16" t="n"/>
      <c r="G19" s="16" t="n"/>
      <c r="H19" s="17" t="n"/>
      <c r="I19" s="18" t="n"/>
      <c r="J19" s="18" t="n"/>
      <c r="K19" s="19" t="n"/>
      <c r="L19" s="20">
        <f>IF($B19="","",IFERROR(VLOOKUP($B19,'تنظیمات'!$A$4:$C$43,2,FALSE),1))</f>
        <v/>
      </c>
      <c r="M19" s="21">
        <f>IF($B19="","",IFERROR(VLOOKUP($B19,'تنظیمات'!$A$4:$C$43,3,FALSE),"USD"))</f>
        <v/>
      </c>
      <c r="N19" s="22">
        <f>IF(OR($E19="",$F19="",$H19="",$L19=""),"",ABS($E19-$F19)*$H19*IF($M19="BASE",$L19/$E19,$L19))</f>
        <v/>
      </c>
      <c r="O19" s="22">
        <f>IF($J19&lt;&gt;"",$J19,IF(OR($E19="",$G19="",$H19="",$L19=""),"",($G19-$E19)*IF($C19="فروش",-1,1)*$H19*IF($M19="BASE",$L19/$G19,$L19)))</f>
        <v/>
      </c>
      <c r="P19" s="22">
        <f>IF($O19="","",$O19-N($I19))</f>
        <v/>
      </c>
      <c r="Q19" s="23">
        <f>IF(OR($P19="",$N19="",$N19=0),"",$P19/$N19)</f>
        <v/>
      </c>
      <c r="R19" s="21">
        <f>IF($P19="","",IF($P19&gt;0,"برد",IF($P19&lt;0,"باخت","سر به سر")))</f>
        <v/>
      </c>
      <c r="S19" s="22">
        <f>IF($P19="","",SUM($P$5:$P19))</f>
        <v/>
      </c>
      <c r="T19" s="24">
        <f>IF($R19="باخت",N($T18)+1,0)</f>
        <v/>
      </c>
      <c r="U19" s="22">
        <f>IF($S19="","",$S19-MAX($S$5:$S19))</f>
        <v/>
      </c>
    </row>
    <row r="20">
      <c r="A20" s="14" t="n"/>
      <c r="B20" s="15" t="n"/>
      <c r="C20" s="15" t="n"/>
      <c r="D20" s="15" t="n"/>
      <c r="E20" s="16" t="n"/>
      <c r="F20" s="16" t="n"/>
      <c r="G20" s="16" t="n"/>
      <c r="H20" s="17" t="n"/>
      <c r="I20" s="18" t="n"/>
      <c r="J20" s="18" t="n"/>
      <c r="K20" s="19" t="n"/>
      <c r="L20" s="20">
        <f>IF($B20="","",IFERROR(VLOOKUP($B20,'تنظیمات'!$A$4:$C$43,2,FALSE),1))</f>
        <v/>
      </c>
      <c r="M20" s="21">
        <f>IF($B20="","",IFERROR(VLOOKUP($B20,'تنظیمات'!$A$4:$C$43,3,FALSE),"USD"))</f>
        <v/>
      </c>
      <c r="N20" s="22">
        <f>IF(OR($E20="",$F20="",$H20="",$L20=""),"",ABS($E20-$F20)*$H20*IF($M20="BASE",$L20/$E20,$L20))</f>
        <v/>
      </c>
      <c r="O20" s="22">
        <f>IF($J20&lt;&gt;"",$J20,IF(OR($E20="",$G20="",$H20="",$L20=""),"",($G20-$E20)*IF($C20="فروش",-1,1)*$H20*IF($M20="BASE",$L20/$G20,$L20)))</f>
        <v/>
      </c>
      <c r="P20" s="22">
        <f>IF($O20="","",$O20-N($I20))</f>
        <v/>
      </c>
      <c r="Q20" s="23">
        <f>IF(OR($P20="",$N20="",$N20=0),"",$P20/$N20)</f>
        <v/>
      </c>
      <c r="R20" s="21">
        <f>IF($P20="","",IF($P20&gt;0,"برد",IF($P20&lt;0,"باخت","سر به سر")))</f>
        <v/>
      </c>
      <c r="S20" s="22">
        <f>IF($P20="","",SUM($P$5:$P20))</f>
        <v/>
      </c>
      <c r="T20" s="24">
        <f>IF($R20="باخت",N($T19)+1,0)</f>
        <v/>
      </c>
      <c r="U20" s="22">
        <f>IF($S20="","",$S20-MAX($S$5:$S20))</f>
        <v/>
      </c>
    </row>
    <row r="21">
      <c r="A21" s="14" t="n"/>
      <c r="B21" s="15" t="n"/>
      <c r="C21" s="15" t="n"/>
      <c r="D21" s="15" t="n"/>
      <c r="E21" s="16" t="n"/>
      <c r="F21" s="16" t="n"/>
      <c r="G21" s="16" t="n"/>
      <c r="H21" s="17" t="n"/>
      <c r="I21" s="18" t="n"/>
      <c r="J21" s="18" t="n"/>
      <c r="K21" s="19" t="n"/>
      <c r="L21" s="20">
        <f>IF($B21="","",IFERROR(VLOOKUP($B21,'تنظیمات'!$A$4:$C$43,2,FALSE),1))</f>
        <v/>
      </c>
      <c r="M21" s="21">
        <f>IF($B21="","",IFERROR(VLOOKUP($B21,'تنظیمات'!$A$4:$C$43,3,FALSE),"USD"))</f>
        <v/>
      </c>
      <c r="N21" s="22">
        <f>IF(OR($E21="",$F21="",$H21="",$L21=""),"",ABS($E21-$F21)*$H21*IF($M21="BASE",$L21/$E21,$L21))</f>
        <v/>
      </c>
      <c r="O21" s="22">
        <f>IF($J21&lt;&gt;"",$J21,IF(OR($E21="",$G21="",$H21="",$L21=""),"",($G21-$E21)*IF($C21="فروش",-1,1)*$H21*IF($M21="BASE",$L21/$G21,$L21)))</f>
        <v/>
      </c>
      <c r="P21" s="22">
        <f>IF($O21="","",$O21-N($I21))</f>
        <v/>
      </c>
      <c r="Q21" s="23">
        <f>IF(OR($P21="",$N21="",$N21=0),"",$P21/$N21)</f>
        <v/>
      </c>
      <c r="R21" s="21">
        <f>IF($P21="","",IF($P21&gt;0,"برد",IF($P21&lt;0,"باخت","سر به سر")))</f>
        <v/>
      </c>
      <c r="S21" s="22">
        <f>IF($P21="","",SUM($P$5:$P21))</f>
        <v/>
      </c>
      <c r="T21" s="24">
        <f>IF($R21="باخت",N($T20)+1,0)</f>
        <v/>
      </c>
      <c r="U21" s="22">
        <f>IF($S21="","",$S21-MAX($S$5:$S21))</f>
        <v/>
      </c>
    </row>
    <row r="22">
      <c r="A22" s="14" t="n"/>
      <c r="B22" s="15" t="n"/>
      <c r="C22" s="15" t="n"/>
      <c r="D22" s="15" t="n"/>
      <c r="E22" s="16" t="n"/>
      <c r="F22" s="16" t="n"/>
      <c r="G22" s="16" t="n"/>
      <c r="H22" s="17" t="n"/>
      <c r="I22" s="18" t="n"/>
      <c r="J22" s="18" t="n"/>
      <c r="K22" s="19" t="n"/>
      <c r="L22" s="20">
        <f>IF($B22="","",IFERROR(VLOOKUP($B22,'تنظیمات'!$A$4:$C$43,2,FALSE),1))</f>
        <v/>
      </c>
      <c r="M22" s="21">
        <f>IF($B22="","",IFERROR(VLOOKUP($B22,'تنظیمات'!$A$4:$C$43,3,FALSE),"USD"))</f>
        <v/>
      </c>
      <c r="N22" s="22">
        <f>IF(OR($E22="",$F22="",$H22="",$L22=""),"",ABS($E22-$F22)*$H22*IF($M22="BASE",$L22/$E22,$L22))</f>
        <v/>
      </c>
      <c r="O22" s="22">
        <f>IF($J22&lt;&gt;"",$J22,IF(OR($E22="",$G22="",$H22="",$L22=""),"",($G22-$E22)*IF($C22="فروش",-1,1)*$H22*IF($M22="BASE",$L22/$G22,$L22)))</f>
        <v/>
      </c>
      <c r="P22" s="22">
        <f>IF($O22="","",$O22-N($I22))</f>
        <v/>
      </c>
      <c r="Q22" s="23">
        <f>IF(OR($P22="",$N22="",$N22=0),"",$P22/$N22)</f>
        <v/>
      </c>
      <c r="R22" s="21">
        <f>IF($P22="","",IF($P22&gt;0,"برد",IF($P22&lt;0,"باخت","سر به سر")))</f>
        <v/>
      </c>
      <c r="S22" s="22">
        <f>IF($P22="","",SUM($P$5:$P22))</f>
        <v/>
      </c>
      <c r="T22" s="24">
        <f>IF($R22="باخت",N($T21)+1,0)</f>
        <v/>
      </c>
      <c r="U22" s="22">
        <f>IF($S22="","",$S22-MAX($S$5:$S22))</f>
        <v/>
      </c>
    </row>
    <row r="23">
      <c r="A23" s="14" t="n"/>
      <c r="B23" s="15" t="n"/>
      <c r="C23" s="15" t="n"/>
      <c r="D23" s="15" t="n"/>
      <c r="E23" s="16" t="n"/>
      <c r="F23" s="16" t="n"/>
      <c r="G23" s="16" t="n"/>
      <c r="H23" s="17" t="n"/>
      <c r="I23" s="18" t="n"/>
      <c r="J23" s="18" t="n"/>
      <c r="K23" s="19" t="n"/>
      <c r="L23" s="20">
        <f>IF($B23="","",IFERROR(VLOOKUP($B23,'تنظیمات'!$A$4:$C$43,2,FALSE),1))</f>
        <v/>
      </c>
      <c r="M23" s="21">
        <f>IF($B23="","",IFERROR(VLOOKUP($B23,'تنظیمات'!$A$4:$C$43,3,FALSE),"USD"))</f>
        <v/>
      </c>
      <c r="N23" s="22">
        <f>IF(OR($E23="",$F23="",$H23="",$L23=""),"",ABS($E23-$F23)*$H23*IF($M23="BASE",$L23/$E23,$L23))</f>
        <v/>
      </c>
      <c r="O23" s="22">
        <f>IF($J23&lt;&gt;"",$J23,IF(OR($E23="",$G23="",$H23="",$L23=""),"",($G23-$E23)*IF($C23="فروش",-1,1)*$H23*IF($M23="BASE",$L23/$G23,$L23)))</f>
        <v/>
      </c>
      <c r="P23" s="22">
        <f>IF($O23="","",$O23-N($I23))</f>
        <v/>
      </c>
      <c r="Q23" s="23">
        <f>IF(OR($P23="",$N23="",$N23=0),"",$P23/$N23)</f>
        <v/>
      </c>
      <c r="R23" s="21">
        <f>IF($P23="","",IF($P23&gt;0,"برد",IF($P23&lt;0,"باخت","سر به سر")))</f>
        <v/>
      </c>
      <c r="S23" s="22">
        <f>IF($P23="","",SUM($P$5:$P23))</f>
        <v/>
      </c>
      <c r="T23" s="24">
        <f>IF($R23="باخت",N($T22)+1,0)</f>
        <v/>
      </c>
      <c r="U23" s="22">
        <f>IF($S23="","",$S23-MAX($S$5:$S23))</f>
        <v/>
      </c>
    </row>
    <row r="24">
      <c r="A24" s="14" t="n"/>
      <c r="B24" s="15" t="n"/>
      <c r="C24" s="15" t="n"/>
      <c r="D24" s="15" t="n"/>
      <c r="E24" s="16" t="n"/>
      <c r="F24" s="16" t="n"/>
      <c r="G24" s="16" t="n"/>
      <c r="H24" s="17" t="n"/>
      <c r="I24" s="18" t="n"/>
      <c r="J24" s="18" t="n"/>
      <c r="K24" s="19" t="n"/>
      <c r="L24" s="20">
        <f>IF($B24="","",IFERROR(VLOOKUP($B24,'تنظیمات'!$A$4:$C$43,2,FALSE),1))</f>
        <v/>
      </c>
      <c r="M24" s="21">
        <f>IF($B24="","",IFERROR(VLOOKUP($B24,'تنظیمات'!$A$4:$C$43,3,FALSE),"USD"))</f>
        <v/>
      </c>
      <c r="N24" s="22">
        <f>IF(OR($E24="",$F24="",$H24="",$L24=""),"",ABS($E24-$F24)*$H24*IF($M24="BASE",$L24/$E24,$L24))</f>
        <v/>
      </c>
      <c r="O24" s="22">
        <f>IF($J24&lt;&gt;"",$J24,IF(OR($E24="",$G24="",$H24="",$L24=""),"",($G24-$E24)*IF($C24="فروش",-1,1)*$H24*IF($M24="BASE",$L24/$G24,$L24)))</f>
        <v/>
      </c>
      <c r="P24" s="22">
        <f>IF($O24="","",$O24-N($I24))</f>
        <v/>
      </c>
      <c r="Q24" s="23">
        <f>IF(OR($P24="",$N24="",$N24=0),"",$P24/$N24)</f>
        <v/>
      </c>
      <c r="R24" s="21">
        <f>IF($P24="","",IF($P24&gt;0,"برد",IF($P24&lt;0,"باخت","سر به سر")))</f>
        <v/>
      </c>
      <c r="S24" s="22">
        <f>IF($P24="","",SUM($P$5:$P24))</f>
        <v/>
      </c>
      <c r="T24" s="24">
        <f>IF($R24="باخت",N($T23)+1,0)</f>
        <v/>
      </c>
      <c r="U24" s="22">
        <f>IF($S24="","",$S24-MAX($S$5:$S24))</f>
        <v/>
      </c>
    </row>
    <row r="25">
      <c r="A25" s="14" t="n"/>
      <c r="B25" s="15" t="n"/>
      <c r="C25" s="15" t="n"/>
      <c r="D25" s="15" t="n"/>
      <c r="E25" s="16" t="n"/>
      <c r="F25" s="16" t="n"/>
      <c r="G25" s="16" t="n"/>
      <c r="H25" s="17" t="n"/>
      <c r="I25" s="18" t="n"/>
      <c r="J25" s="18" t="n"/>
      <c r="K25" s="19" t="n"/>
      <c r="L25" s="20">
        <f>IF($B25="","",IFERROR(VLOOKUP($B25,'تنظیمات'!$A$4:$C$43,2,FALSE),1))</f>
        <v/>
      </c>
      <c r="M25" s="21">
        <f>IF($B25="","",IFERROR(VLOOKUP($B25,'تنظیمات'!$A$4:$C$43,3,FALSE),"USD"))</f>
        <v/>
      </c>
      <c r="N25" s="22">
        <f>IF(OR($E25="",$F25="",$H25="",$L25=""),"",ABS($E25-$F25)*$H25*IF($M25="BASE",$L25/$E25,$L25))</f>
        <v/>
      </c>
      <c r="O25" s="22">
        <f>IF($J25&lt;&gt;"",$J25,IF(OR($E25="",$G25="",$H25="",$L25=""),"",($G25-$E25)*IF($C25="فروش",-1,1)*$H25*IF($M25="BASE",$L25/$G25,$L25)))</f>
        <v/>
      </c>
      <c r="P25" s="22">
        <f>IF($O25="","",$O25-N($I25))</f>
        <v/>
      </c>
      <c r="Q25" s="23">
        <f>IF(OR($P25="",$N25="",$N25=0),"",$P25/$N25)</f>
        <v/>
      </c>
      <c r="R25" s="21">
        <f>IF($P25="","",IF($P25&gt;0,"برد",IF($P25&lt;0,"باخت","سر به سر")))</f>
        <v/>
      </c>
      <c r="S25" s="22">
        <f>IF($P25="","",SUM($P$5:$P25))</f>
        <v/>
      </c>
      <c r="T25" s="24">
        <f>IF($R25="باخت",N($T24)+1,0)</f>
        <v/>
      </c>
      <c r="U25" s="22">
        <f>IF($S25="","",$S25-MAX($S$5:$S25))</f>
        <v/>
      </c>
    </row>
    <row r="26">
      <c r="A26" s="14" t="n"/>
      <c r="B26" s="15" t="n"/>
      <c r="C26" s="15" t="n"/>
      <c r="D26" s="15" t="n"/>
      <c r="E26" s="16" t="n"/>
      <c r="F26" s="16" t="n"/>
      <c r="G26" s="16" t="n"/>
      <c r="H26" s="17" t="n"/>
      <c r="I26" s="18" t="n"/>
      <c r="J26" s="18" t="n"/>
      <c r="K26" s="19" t="n"/>
      <c r="L26" s="20">
        <f>IF($B26="","",IFERROR(VLOOKUP($B26,'تنظیمات'!$A$4:$C$43,2,FALSE),1))</f>
        <v/>
      </c>
      <c r="M26" s="21">
        <f>IF($B26="","",IFERROR(VLOOKUP($B26,'تنظیمات'!$A$4:$C$43,3,FALSE),"USD"))</f>
        <v/>
      </c>
      <c r="N26" s="22">
        <f>IF(OR($E26="",$F26="",$H26="",$L26=""),"",ABS($E26-$F26)*$H26*IF($M26="BASE",$L26/$E26,$L26))</f>
        <v/>
      </c>
      <c r="O26" s="22">
        <f>IF($J26&lt;&gt;"",$J26,IF(OR($E26="",$G26="",$H26="",$L26=""),"",($G26-$E26)*IF($C26="فروش",-1,1)*$H26*IF($M26="BASE",$L26/$G26,$L26)))</f>
        <v/>
      </c>
      <c r="P26" s="22">
        <f>IF($O26="","",$O26-N($I26))</f>
        <v/>
      </c>
      <c r="Q26" s="23">
        <f>IF(OR($P26="",$N26="",$N26=0),"",$P26/$N26)</f>
        <v/>
      </c>
      <c r="R26" s="21">
        <f>IF($P26="","",IF($P26&gt;0,"برد",IF($P26&lt;0,"باخت","سر به سر")))</f>
        <v/>
      </c>
      <c r="S26" s="22">
        <f>IF($P26="","",SUM($P$5:$P26))</f>
        <v/>
      </c>
      <c r="T26" s="24">
        <f>IF($R26="باخت",N($T25)+1,0)</f>
        <v/>
      </c>
      <c r="U26" s="22">
        <f>IF($S26="","",$S26-MAX($S$5:$S26))</f>
        <v/>
      </c>
    </row>
    <row r="27">
      <c r="A27" s="14" t="n"/>
      <c r="B27" s="15" t="n"/>
      <c r="C27" s="15" t="n"/>
      <c r="D27" s="15" t="n"/>
      <c r="E27" s="16" t="n"/>
      <c r="F27" s="16" t="n"/>
      <c r="G27" s="16" t="n"/>
      <c r="H27" s="17" t="n"/>
      <c r="I27" s="18" t="n"/>
      <c r="J27" s="18" t="n"/>
      <c r="K27" s="19" t="n"/>
      <c r="L27" s="20">
        <f>IF($B27="","",IFERROR(VLOOKUP($B27,'تنظیمات'!$A$4:$C$43,2,FALSE),1))</f>
        <v/>
      </c>
      <c r="M27" s="21">
        <f>IF($B27="","",IFERROR(VLOOKUP($B27,'تنظیمات'!$A$4:$C$43,3,FALSE),"USD"))</f>
        <v/>
      </c>
      <c r="N27" s="22">
        <f>IF(OR($E27="",$F27="",$H27="",$L27=""),"",ABS($E27-$F27)*$H27*IF($M27="BASE",$L27/$E27,$L27))</f>
        <v/>
      </c>
      <c r="O27" s="22">
        <f>IF($J27&lt;&gt;"",$J27,IF(OR($E27="",$G27="",$H27="",$L27=""),"",($G27-$E27)*IF($C27="فروش",-1,1)*$H27*IF($M27="BASE",$L27/$G27,$L27)))</f>
        <v/>
      </c>
      <c r="P27" s="22">
        <f>IF($O27="","",$O27-N($I27))</f>
        <v/>
      </c>
      <c r="Q27" s="23">
        <f>IF(OR($P27="",$N27="",$N27=0),"",$P27/$N27)</f>
        <v/>
      </c>
      <c r="R27" s="21">
        <f>IF($P27="","",IF($P27&gt;0,"برد",IF($P27&lt;0,"باخت","سر به سر")))</f>
        <v/>
      </c>
      <c r="S27" s="22">
        <f>IF($P27="","",SUM($P$5:$P27))</f>
        <v/>
      </c>
      <c r="T27" s="24">
        <f>IF($R27="باخت",N($T26)+1,0)</f>
        <v/>
      </c>
      <c r="U27" s="22">
        <f>IF($S27="","",$S27-MAX($S$5:$S27))</f>
        <v/>
      </c>
    </row>
    <row r="28">
      <c r="A28" s="14" t="n"/>
      <c r="B28" s="15" t="n"/>
      <c r="C28" s="15" t="n"/>
      <c r="D28" s="15" t="n"/>
      <c r="E28" s="16" t="n"/>
      <c r="F28" s="16" t="n"/>
      <c r="G28" s="16" t="n"/>
      <c r="H28" s="17" t="n"/>
      <c r="I28" s="18" t="n"/>
      <c r="J28" s="18" t="n"/>
      <c r="K28" s="19" t="n"/>
      <c r="L28" s="20">
        <f>IF($B28="","",IFERROR(VLOOKUP($B28,'تنظیمات'!$A$4:$C$43,2,FALSE),1))</f>
        <v/>
      </c>
      <c r="M28" s="21">
        <f>IF($B28="","",IFERROR(VLOOKUP($B28,'تنظیمات'!$A$4:$C$43,3,FALSE),"USD"))</f>
        <v/>
      </c>
      <c r="N28" s="22">
        <f>IF(OR($E28="",$F28="",$H28="",$L28=""),"",ABS($E28-$F28)*$H28*IF($M28="BASE",$L28/$E28,$L28))</f>
        <v/>
      </c>
      <c r="O28" s="22">
        <f>IF($J28&lt;&gt;"",$J28,IF(OR($E28="",$G28="",$H28="",$L28=""),"",($G28-$E28)*IF($C28="فروش",-1,1)*$H28*IF($M28="BASE",$L28/$G28,$L28)))</f>
        <v/>
      </c>
      <c r="P28" s="22">
        <f>IF($O28="","",$O28-N($I28))</f>
        <v/>
      </c>
      <c r="Q28" s="23">
        <f>IF(OR($P28="",$N28="",$N28=0),"",$P28/$N28)</f>
        <v/>
      </c>
      <c r="R28" s="21">
        <f>IF($P28="","",IF($P28&gt;0,"برد",IF($P28&lt;0,"باخت","سر به سر")))</f>
        <v/>
      </c>
      <c r="S28" s="22">
        <f>IF($P28="","",SUM($P$5:$P28))</f>
        <v/>
      </c>
      <c r="T28" s="24">
        <f>IF($R28="باخت",N($T27)+1,0)</f>
        <v/>
      </c>
      <c r="U28" s="22">
        <f>IF($S28="","",$S28-MAX($S$5:$S28))</f>
        <v/>
      </c>
    </row>
    <row r="29">
      <c r="A29" s="14" t="n"/>
      <c r="B29" s="15" t="n"/>
      <c r="C29" s="15" t="n"/>
      <c r="D29" s="15" t="n"/>
      <c r="E29" s="16" t="n"/>
      <c r="F29" s="16" t="n"/>
      <c r="G29" s="16" t="n"/>
      <c r="H29" s="17" t="n"/>
      <c r="I29" s="18" t="n"/>
      <c r="J29" s="18" t="n"/>
      <c r="K29" s="19" t="n"/>
      <c r="L29" s="20">
        <f>IF($B29="","",IFERROR(VLOOKUP($B29,'تنظیمات'!$A$4:$C$43,2,FALSE),1))</f>
        <v/>
      </c>
      <c r="M29" s="21">
        <f>IF($B29="","",IFERROR(VLOOKUP($B29,'تنظیمات'!$A$4:$C$43,3,FALSE),"USD"))</f>
        <v/>
      </c>
      <c r="N29" s="22">
        <f>IF(OR($E29="",$F29="",$H29="",$L29=""),"",ABS($E29-$F29)*$H29*IF($M29="BASE",$L29/$E29,$L29))</f>
        <v/>
      </c>
      <c r="O29" s="22">
        <f>IF($J29&lt;&gt;"",$J29,IF(OR($E29="",$G29="",$H29="",$L29=""),"",($G29-$E29)*IF($C29="فروش",-1,1)*$H29*IF($M29="BASE",$L29/$G29,$L29)))</f>
        <v/>
      </c>
      <c r="P29" s="22">
        <f>IF($O29="","",$O29-N($I29))</f>
        <v/>
      </c>
      <c r="Q29" s="23">
        <f>IF(OR($P29="",$N29="",$N29=0),"",$P29/$N29)</f>
        <v/>
      </c>
      <c r="R29" s="21">
        <f>IF($P29="","",IF($P29&gt;0,"برد",IF($P29&lt;0,"باخت","سر به سر")))</f>
        <v/>
      </c>
      <c r="S29" s="22">
        <f>IF($P29="","",SUM($P$5:$P29))</f>
        <v/>
      </c>
      <c r="T29" s="24">
        <f>IF($R29="باخت",N($T28)+1,0)</f>
        <v/>
      </c>
      <c r="U29" s="22">
        <f>IF($S29="","",$S29-MAX($S$5:$S29))</f>
        <v/>
      </c>
    </row>
    <row r="30">
      <c r="A30" s="14" t="n"/>
      <c r="B30" s="15" t="n"/>
      <c r="C30" s="15" t="n"/>
      <c r="D30" s="15" t="n"/>
      <c r="E30" s="16" t="n"/>
      <c r="F30" s="16" t="n"/>
      <c r="G30" s="16" t="n"/>
      <c r="H30" s="17" t="n"/>
      <c r="I30" s="18" t="n"/>
      <c r="J30" s="18" t="n"/>
      <c r="K30" s="19" t="n"/>
      <c r="L30" s="20">
        <f>IF($B30="","",IFERROR(VLOOKUP($B30,'تنظیمات'!$A$4:$C$43,2,FALSE),1))</f>
        <v/>
      </c>
      <c r="M30" s="21">
        <f>IF($B30="","",IFERROR(VLOOKUP($B30,'تنظیمات'!$A$4:$C$43,3,FALSE),"USD"))</f>
        <v/>
      </c>
      <c r="N30" s="22">
        <f>IF(OR($E30="",$F30="",$H30="",$L30=""),"",ABS($E30-$F30)*$H30*IF($M30="BASE",$L30/$E30,$L30))</f>
        <v/>
      </c>
      <c r="O30" s="22">
        <f>IF($J30&lt;&gt;"",$J30,IF(OR($E30="",$G30="",$H30="",$L30=""),"",($G30-$E30)*IF($C30="فروش",-1,1)*$H30*IF($M30="BASE",$L30/$G30,$L30)))</f>
        <v/>
      </c>
      <c r="P30" s="22">
        <f>IF($O30="","",$O30-N($I30))</f>
        <v/>
      </c>
      <c r="Q30" s="23">
        <f>IF(OR($P30="",$N30="",$N30=0),"",$P30/$N30)</f>
        <v/>
      </c>
      <c r="R30" s="21">
        <f>IF($P30="","",IF($P30&gt;0,"برد",IF($P30&lt;0,"باخت","سر به سر")))</f>
        <v/>
      </c>
      <c r="S30" s="22">
        <f>IF($P30="","",SUM($P$5:$P30))</f>
        <v/>
      </c>
      <c r="T30" s="24">
        <f>IF($R30="باخت",N($T29)+1,0)</f>
        <v/>
      </c>
      <c r="U30" s="22">
        <f>IF($S30="","",$S30-MAX($S$5:$S30))</f>
        <v/>
      </c>
    </row>
    <row r="31">
      <c r="A31" s="14" t="n"/>
      <c r="B31" s="15" t="n"/>
      <c r="C31" s="15" t="n"/>
      <c r="D31" s="15" t="n"/>
      <c r="E31" s="16" t="n"/>
      <c r="F31" s="16" t="n"/>
      <c r="G31" s="16" t="n"/>
      <c r="H31" s="17" t="n"/>
      <c r="I31" s="18" t="n"/>
      <c r="J31" s="18" t="n"/>
      <c r="K31" s="19" t="n"/>
      <c r="L31" s="20">
        <f>IF($B31="","",IFERROR(VLOOKUP($B31,'تنظیمات'!$A$4:$C$43,2,FALSE),1))</f>
        <v/>
      </c>
      <c r="M31" s="21">
        <f>IF($B31="","",IFERROR(VLOOKUP($B31,'تنظیمات'!$A$4:$C$43,3,FALSE),"USD"))</f>
        <v/>
      </c>
      <c r="N31" s="22">
        <f>IF(OR($E31="",$F31="",$H31="",$L31=""),"",ABS($E31-$F31)*$H31*IF($M31="BASE",$L31/$E31,$L31))</f>
        <v/>
      </c>
      <c r="O31" s="22">
        <f>IF($J31&lt;&gt;"",$J31,IF(OR($E31="",$G31="",$H31="",$L31=""),"",($G31-$E31)*IF($C31="فروش",-1,1)*$H31*IF($M31="BASE",$L31/$G31,$L31)))</f>
        <v/>
      </c>
      <c r="P31" s="22">
        <f>IF($O31="","",$O31-N($I31))</f>
        <v/>
      </c>
      <c r="Q31" s="23">
        <f>IF(OR($P31="",$N31="",$N31=0),"",$P31/$N31)</f>
        <v/>
      </c>
      <c r="R31" s="21">
        <f>IF($P31="","",IF($P31&gt;0,"برد",IF($P31&lt;0,"باخت","سر به سر")))</f>
        <v/>
      </c>
      <c r="S31" s="22">
        <f>IF($P31="","",SUM($P$5:$P31))</f>
        <v/>
      </c>
      <c r="T31" s="24">
        <f>IF($R31="باخت",N($T30)+1,0)</f>
        <v/>
      </c>
      <c r="U31" s="22">
        <f>IF($S31="","",$S31-MAX($S$5:$S31))</f>
        <v/>
      </c>
    </row>
    <row r="32">
      <c r="A32" s="14" t="n"/>
      <c r="B32" s="15" t="n"/>
      <c r="C32" s="15" t="n"/>
      <c r="D32" s="15" t="n"/>
      <c r="E32" s="16" t="n"/>
      <c r="F32" s="16" t="n"/>
      <c r="G32" s="16" t="n"/>
      <c r="H32" s="17" t="n"/>
      <c r="I32" s="18" t="n"/>
      <c r="J32" s="18" t="n"/>
      <c r="K32" s="19" t="n"/>
      <c r="L32" s="20">
        <f>IF($B32="","",IFERROR(VLOOKUP($B32,'تنظیمات'!$A$4:$C$43,2,FALSE),1))</f>
        <v/>
      </c>
      <c r="M32" s="21">
        <f>IF($B32="","",IFERROR(VLOOKUP($B32,'تنظیمات'!$A$4:$C$43,3,FALSE),"USD"))</f>
        <v/>
      </c>
      <c r="N32" s="22">
        <f>IF(OR($E32="",$F32="",$H32="",$L32=""),"",ABS($E32-$F32)*$H32*IF($M32="BASE",$L32/$E32,$L32))</f>
        <v/>
      </c>
      <c r="O32" s="22">
        <f>IF($J32&lt;&gt;"",$J32,IF(OR($E32="",$G32="",$H32="",$L32=""),"",($G32-$E32)*IF($C32="فروش",-1,1)*$H32*IF($M32="BASE",$L32/$G32,$L32)))</f>
        <v/>
      </c>
      <c r="P32" s="22">
        <f>IF($O32="","",$O32-N($I32))</f>
        <v/>
      </c>
      <c r="Q32" s="23">
        <f>IF(OR($P32="",$N32="",$N32=0),"",$P32/$N32)</f>
        <v/>
      </c>
      <c r="R32" s="21">
        <f>IF($P32="","",IF($P32&gt;0,"برد",IF($P32&lt;0,"باخت","سر به سر")))</f>
        <v/>
      </c>
      <c r="S32" s="22">
        <f>IF($P32="","",SUM($P$5:$P32))</f>
        <v/>
      </c>
      <c r="T32" s="24">
        <f>IF($R32="باخت",N($T31)+1,0)</f>
        <v/>
      </c>
      <c r="U32" s="22">
        <f>IF($S32="","",$S32-MAX($S$5:$S32))</f>
        <v/>
      </c>
    </row>
    <row r="33">
      <c r="A33" s="14" t="n"/>
      <c r="B33" s="15" t="n"/>
      <c r="C33" s="15" t="n"/>
      <c r="D33" s="15" t="n"/>
      <c r="E33" s="16" t="n"/>
      <c r="F33" s="16" t="n"/>
      <c r="G33" s="16" t="n"/>
      <c r="H33" s="17" t="n"/>
      <c r="I33" s="18" t="n"/>
      <c r="J33" s="18" t="n"/>
      <c r="K33" s="19" t="n"/>
      <c r="L33" s="20">
        <f>IF($B33="","",IFERROR(VLOOKUP($B33,'تنظیمات'!$A$4:$C$43,2,FALSE),1))</f>
        <v/>
      </c>
      <c r="M33" s="21">
        <f>IF($B33="","",IFERROR(VLOOKUP($B33,'تنظیمات'!$A$4:$C$43,3,FALSE),"USD"))</f>
        <v/>
      </c>
      <c r="N33" s="22">
        <f>IF(OR($E33="",$F33="",$H33="",$L33=""),"",ABS($E33-$F33)*$H33*IF($M33="BASE",$L33/$E33,$L33))</f>
        <v/>
      </c>
      <c r="O33" s="22">
        <f>IF($J33&lt;&gt;"",$J33,IF(OR($E33="",$G33="",$H33="",$L33=""),"",($G33-$E33)*IF($C33="فروش",-1,1)*$H33*IF($M33="BASE",$L33/$G33,$L33)))</f>
        <v/>
      </c>
      <c r="P33" s="22">
        <f>IF($O33="","",$O33-N($I33))</f>
        <v/>
      </c>
      <c r="Q33" s="23">
        <f>IF(OR($P33="",$N33="",$N33=0),"",$P33/$N33)</f>
        <v/>
      </c>
      <c r="R33" s="21">
        <f>IF($P33="","",IF($P33&gt;0,"برد",IF($P33&lt;0,"باخت","سر به سر")))</f>
        <v/>
      </c>
      <c r="S33" s="22">
        <f>IF($P33="","",SUM($P$5:$P33))</f>
        <v/>
      </c>
      <c r="T33" s="24">
        <f>IF($R33="باخت",N($T32)+1,0)</f>
        <v/>
      </c>
      <c r="U33" s="22">
        <f>IF($S33="","",$S33-MAX($S$5:$S33))</f>
        <v/>
      </c>
    </row>
    <row r="34">
      <c r="A34" s="14" t="n"/>
      <c r="B34" s="15" t="n"/>
      <c r="C34" s="15" t="n"/>
      <c r="D34" s="15" t="n"/>
      <c r="E34" s="16" t="n"/>
      <c r="F34" s="16" t="n"/>
      <c r="G34" s="16" t="n"/>
      <c r="H34" s="17" t="n"/>
      <c r="I34" s="18" t="n"/>
      <c r="J34" s="18" t="n"/>
      <c r="K34" s="19" t="n"/>
      <c r="L34" s="20">
        <f>IF($B34="","",IFERROR(VLOOKUP($B34,'تنظیمات'!$A$4:$C$43,2,FALSE),1))</f>
        <v/>
      </c>
      <c r="M34" s="21">
        <f>IF($B34="","",IFERROR(VLOOKUP($B34,'تنظیمات'!$A$4:$C$43,3,FALSE),"USD"))</f>
        <v/>
      </c>
      <c r="N34" s="22">
        <f>IF(OR($E34="",$F34="",$H34="",$L34=""),"",ABS($E34-$F34)*$H34*IF($M34="BASE",$L34/$E34,$L34))</f>
        <v/>
      </c>
      <c r="O34" s="22">
        <f>IF($J34&lt;&gt;"",$J34,IF(OR($E34="",$G34="",$H34="",$L34=""),"",($G34-$E34)*IF($C34="فروش",-1,1)*$H34*IF($M34="BASE",$L34/$G34,$L34)))</f>
        <v/>
      </c>
      <c r="P34" s="22">
        <f>IF($O34="","",$O34-N($I34))</f>
        <v/>
      </c>
      <c r="Q34" s="23">
        <f>IF(OR($P34="",$N34="",$N34=0),"",$P34/$N34)</f>
        <v/>
      </c>
      <c r="R34" s="21">
        <f>IF($P34="","",IF($P34&gt;0,"برد",IF($P34&lt;0,"باخت","سر به سر")))</f>
        <v/>
      </c>
      <c r="S34" s="22">
        <f>IF($P34="","",SUM($P$5:$P34))</f>
        <v/>
      </c>
      <c r="T34" s="24">
        <f>IF($R34="باخت",N($T33)+1,0)</f>
        <v/>
      </c>
      <c r="U34" s="22">
        <f>IF($S34="","",$S34-MAX($S$5:$S34))</f>
        <v/>
      </c>
    </row>
    <row r="35">
      <c r="A35" s="14" t="n"/>
      <c r="B35" s="15" t="n"/>
      <c r="C35" s="15" t="n"/>
      <c r="D35" s="15" t="n"/>
      <c r="E35" s="16" t="n"/>
      <c r="F35" s="16" t="n"/>
      <c r="G35" s="16" t="n"/>
      <c r="H35" s="17" t="n"/>
      <c r="I35" s="18" t="n"/>
      <c r="J35" s="18" t="n"/>
      <c r="K35" s="19" t="n"/>
      <c r="L35" s="20">
        <f>IF($B35="","",IFERROR(VLOOKUP($B35,'تنظیمات'!$A$4:$C$43,2,FALSE),1))</f>
        <v/>
      </c>
      <c r="M35" s="21">
        <f>IF($B35="","",IFERROR(VLOOKUP($B35,'تنظیمات'!$A$4:$C$43,3,FALSE),"USD"))</f>
        <v/>
      </c>
      <c r="N35" s="22">
        <f>IF(OR($E35="",$F35="",$H35="",$L35=""),"",ABS($E35-$F35)*$H35*IF($M35="BASE",$L35/$E35,$L35))</f>
        <v/>
      </c>
      <c r="O35" s="22">
        <f>IF($J35&lt;&gt;"",$J35,IF(OR($E35="",$G35="",$H35="",$L35=""),"",($G35-$E35)*IF($C35="فروش",-1,1)*$H35*IF($M35="BASE",$L35/$G35,$L35)))</f>
        <v/>
      </c>
      <c r="P35" s="22">
        <f>IF($O35="","",$O35-N($I35))</f>
        <v/>
      </c>
      <c r="Q35" s="23">
        <f>IF(OR($P35="",$N35="",$N35=0),"",$P35/$N35)</f>
        <v/>
      </c>
      <c r="R35" s="21">
        <f>IF($P35="","",IF($P35&gt;0,"برد",IF($P35&lt;0,"باخت","سر به سر")))</f>
        <v/>
      </c>
      <c r="S35" s="22">
        <f>IF($P35="","",SUM($P$5:$P35))</f>
        <v/>
      </c>
      <c r="T35" s="24">
        <f>IF($R35="باخت",N($T34)+1,0)</f>
        <v/>
      </c>
      <c r="U35" s="22">
        <f>IF($S35="","",$S35-MAX($S$5:$S35))</f>
        <v/>
      </c>
    </row>
    <row r="36">
      <c r="A36" s="14" t="n"/>
      <c r="B36" s="15" t="n"/>
      <c r="C36" s="15" t="n"/>
      <c r="D36" s="15" t="n"/>
      <c r="E36" s="16" t="n"/>
      <c r="F36" s="16" t="n"/>
      <c r="G36" s="16" t="n"/>
      <c r="H36" s="17" t="n"/>
      <c r="I36" s="18" t="n"/>
      <c r="J36" s="18" t="n"/>
      <c r="K36" s="19" t="n"/>
      <c r="L36" s="20">
        <f>IF($B36="","",IFERROR(VLOOKUP($B36,'تنظیمات'!$A$4:$C$43,2,FALSE),1))</f>
        <v/>
      </c>
      <c r="M36" s="21">
        <f>IF($B36="","",IFERROR(VLOOKUP($B36,'تنظیمات'!$A$4:$C$43,3,FALSE),"USD"))</f>
        <v/>
      </c>
      <c r="N36" s="22">
        <f>IF(OR($E36="",$F36="",$H36="",$L36=""),"",ABS($E36-$F36)*$H36*IF($M36="BASE",$L36/$E36,$L36))</f>
        <v/>
      </c>
      <c r="O36" s="22">
        <f>IF($J36&lt;&gt;"",$J36,IF(OR($E36="",$G36="",$H36="",$L36=""),"",($G36-$E36)*IF($C36="فروش",-1,1)*$H36*IF($M36="BASE",$L36/$G36,$L36)))</f>
        <v/>
      </c>
      <c r="P36" s="22">
        <f>IF($O36="","",$O36-N($I36))</f>
        <v/>
      </c>
      <c r="Q36" s="23">
        <f>IF(OR($P36="",$N36="",$N36=0),"",$P36/$N36)</f>
        <v/>
      </c>
      <c r="R36" s="21">
        <f>IF($P36="","",IF($P36&gt;0,"برد",IF($P36&lt;0,"باخت","سر به سر")))</f>
        <v/>
      </c>
      <c r="S36" s="22">
        <f>IF($P36="","",SUM($P$5:$P36))</f>
        <v/>
      </c>
      <c r="T36" s="24">
        <f>IF($R36="باخت",N($T35)+1,0)</f>
        <v/>
      </c>
      <c r="U36" s="22">
        <f>IF($S36="","",$S36-MAX($S$5:$S36))</f>
        <v/>
      </c>
    </row>
    <row r="37">
      <c r="A37" s="14" t="n"/>
      <c r="B37" s="15" t="n"/>
      <c r="C37" s="15" t="n"/>
      <c r="D37" s="15" t="n"/>
      <c r="E37" s="16" t="n"/>
      <c r="F37" s="16" t="n"/>
      <c r="G37" s="16" t="n"/>
      <c r="H37" s="17" t="n"/>
      <c r="I37" s="18" t="n"/>
      <c r="J37" s="18" t="n"/>
      <c r="K37" s="19" t="n"/>
      <c r="L37" s="20">
        <f>IF($B37="","",IFERROR(VLOOKUP($B37,'تنظیمات'!$A$4:$C$43,2,FALSE),1))</f>
        <v/>
      </c>
      <c r="M37" s="21">
        <f>IF($B37="","",IFERROR(VLOOKUP($B37,'تنظیمات'!$A$4:$C$43,3,FALSE),"USD"))</f>
        <v/>
      </c>
      <c r="N37" s="22">
        <f>IF(OR($E37="",$F37="",$H37="",$L37=""),"",ABS($E37-$F37)*$H37*IF($M37="BASE",$L37/$E37,$L37))</f>
        <v/>
      </c>
      <c r="O37" s="22">
        <f>IF($J37&lt;&gt;"",$J37,IF(OR($E37="",$G37="",$H37="",$L37=""),"",($G37-$E37)*IF($C37="فروش",-1,1)*$H37*IF($M37="BASE",$L37/$G37,$L37)))</f>
        <v/>
      </c>
      <c r="P37" s="22">
        <f>IF($O37="","",$O37-N($I37))</f>
        <v/>
      </c>
      <c r="Q37" s="23">
        <f>IF(OR($P37="",$N37="",$N37=0),"",$P37/$N37)</f>
        <v/>
      </c>
      <c r="R37" s="21">
        <f>IF($P37="","",IF($P37&gt;0,"برد",IF($P37&lt;0,"باخت","سر به سر")))</f>
        <v/>
      </c>
      <c r="S37" s="22">
        <f>IF($P37="","",SUM($P$5:$P37))</f>
        <v/>
      </c>
      <c r="T37" s="24">
        <f>IF($R37="باخت",N($T36)+1,0)</f>
        <v/>
      </c>
      <c r="U37" s="22">
        <f>IF($S37="","",$S37-MAX($S$5:$S37))</f>
        <v/>
      </c>
    </row>
    <row r="38">
      <c r="A38" s="14" t="n"/>
      <c r="B38" s="15" t="n"/>
      <c r="C38" s="15" t="n"/>
      <c r="D38" s="15" t="n"/>
      <c r="E38" s="16" t="n"/>
      <c r="F38" s="16" t="n"/>
      <c r="G38" s="16" t="n"/>
      <c r="H38" s="17" t="n"/>
      <c r="I38" s="18" t="n"/>
      <c r="J38" s="18" t="n"/>
      <c r="K38" s="19" t="n"/>
      <c r="L38" s="20">
        <f>IF($B38="","",IFERROR(VLOOKUP($B38,'تنظیمات'!$A$4:$C$43,2,FALSE),1))</f>
        <v/>
      </c>
      <c r="M38" s="21">
        <f>IF($B38="","",IFERROR(VLOOKUP($B38,'تنظیمات'!$A$4:$C$43,3,FALSE),"USD"))</f>
        <v/>
      </c>
      <c r="N38" s="22">
        <f>IF(OR($E38="",$F38="",$H38="",$L38=""),"",ABS($E38-$F38)*$H38*IF($M38="BASE",$L38/$E38,$L38))</f>
        <v/>
      </c>
      <c r="O38" s="22">
        <f>IF($J38&lt;&gt;"",$J38,IF(OR($E38="",$G38="",$H38="",$L38=""),"",($G38-$E38)*IF($C38="فروش",-1,1)*$H38*IF($M38="BASE",$L38/$G38,$L38)))</f>
        <v/>
      </c>
      <c r="P38" s="22">
        <f>IF($O38="","",$O38-N($I38))</f>
        <v/>
      </c>
      <c r="Q38" s="23">
        <f>IF(OR($P38="",$N38="",$N38=0),"",$P38/$N38)</f>
        <v/>
      </c>
      <c r="R38" s="21">
        <f>IF($P38="","",IF($P38&gt;0,"برد",IF($P38&lt;0,"باخت","سر به سر")))</f>
        <v/>
      </c>
      <c r="S38" s="22">
        <f>IF($P38="","",SUM($P$5:$P38))</f>
        <v/>
      </c>
      <c r="T38" s="24">
        <f>IF($R38="باخت",N($T37)+1,0)</f>
        <v/>
      </c>
      <c r="U38" s="22">
        <f>IF($S38="","",$S38-MAX($S$5:$S38))</f>
        <v/>
      </c>
    </row>
    <row r="39">
      <c r="A39" s="14" t="n"/>
      <c r="B39" s="15" t="n"/>
      <c r="C39" s="15" t="n"/>
      <c r="D39" s="15" t="n"/>
      <c r="E39" s="16" t="n"/>
      <c r="F39" s="16" t="n"/>
      <c r="G39" s="16" t="n"/>
      <c r="H39" s="17" t="n"/>
      <c r="I39" s="18" t="n"/>
      <c r="J39" s="18" t="n"/>
      <c r="K39" s="19" t="n"/>
      <c r="L39" s="20">
        <f>IF($B39="","",IFERROR(VLOOKUP($B39,'تنظیمات'!$A$4:$C$43,2,FALSE),1))</f>
        <v/>
      </c>
      <c r="M39" s="21">
        <f>IF($B39="","",IFERROR(VLOOKUP($B39,'تنظیمات'!$A$4:$C$43,3,FALSE),"USD"))</f>
        <v/>
      </c>
      <c r="N39" s="22">
        <f>IF(OR($E39="",$F39="",$H39="",$L39=""),"",ABS($E39-$F39)*$H39*IF($M39="BASE",$L39/$E39,$L39))</f>
        <v/>
      </c>
      <c r="O39" s="22">
        <f>IF($J39&lt;&gt;"",$J39,IF(OR($E39="",$G39="",$H39="",$L39=""),"",($G39-$E39)*IF($C39="فروش",-1,1)*$H39*IF($M39="BASE",$L39/$G39,$L39)))</f>
        <v/>
      </c>
      <c r="P39" s="22">
        <f>IF($O39="","",$O39-N($I39))</f>
        <v/>
      </c>
      <c r="Q39" s="23">
        <f>IF(OR($P39="",$N39="",$N39=0),"",$P39/$N39)</f>
        <v/>
      </c>
      <c r="R39" s="21">
        <f>IF($P39="","",IF($P39&gt;0,"برد",IF($P39&lt;0,"باخت","سر به سر")))</f>
        <v/>
      </c>
      <c r="S39" s="22">
        <f>IF($P39="","",SUM($P$5:$P39))</f>
        <v/>
      </c>
      <c r="T39" s="24">
        <f>IF($R39="باخت",N($T38)+1,0)</f>
        <v/>
      </c>
      <c r="U39" s="22">
        <f>IF($S39="","",$S39-MAX($S$5:$S39))</f>
        <v/>
      </c>
    </row>
    <row r="40">
      <c r="A40" s="14" t="n"/>
      <c r="B40" s="15" t="n"/>
      <c r="C40" s="15" t="n"/>
      <c r="D40" s="15" t="n"/>
      <c r="E40" s="16" t="n"/>
      <c r="F40" s="16" t="n"/>
      <c r="G40" s="16" t="n"/>
      <c r="H40" s="17" t="n"/>
      <c r="I40" s="18" t="n"/>
      <c r="J40" s="18" t="n"/>
      <c r="K40" s="19" t="n"/>
      <c r="L40" s="20">
        <f>IF($B40="","",IFERROR(VLOOKUP($B40,'تنظیمات'!$A$4:$C$43,2,FALSE),1))</f>
        <v/>
      </c>
      <c r="M40" s="21">
        <f>IF($B40="","",IFERROR(VLOOKUP($B40,'تنظیمات'!$A$4:$C$43,3,FALSE),"USD"))</f>
        <v/>
      </c>
      <c r="N40" s="22">
        <f>IF(OR($E40="",$F40="",$H40="",$L40=""),"",ABS($E40-$F40)*$H40*IF($M40="BASE",$L40/$E40,$L40))</f>
        <v/>
      </c>
      <c r="O40" s="22">
        <f>IF($J40&lt;&gt;"",$J40,IF(OR($E40="",$G40="",$H40="",$L40=""),"",($G40-$E40)*IF($C40="فروش",-1,1)*$H40*IF($M40="BASE",$L40/$G40,$L40)))</f>
        <v/>
      </c>
      <c r="P40" s="22">
        <f>IF($O40="","",$O40-N($I40))</f>
        <v/>
      </c>
      <c r="Q40" s="23">
        <f>IF(OR($P40="",$N40="",$N40=0),"",$P40/$N40)</f>
        <v/>
      </c>
      <c r="R40" s="21">
        <f>IF($P40="","",IF($P40&gt;0,"برد",IF($P40&lt;0,"باخت","سر به سر")))</f>
        <v/>
      </c>
      <c r="S40" s="22">
        <f>IF($P40="","",SUM($P$5:$P40))</f>
        <v/>
      </c>
      <c r="T40" s="24">
        <f>IF($R40="باخت",N($T39)+1,0)</f>
        <v/>
      </c>
      <c r="U40" s="22">
        <f>IF($S40="","",$S40-MAX($S$5:$S40))</f>
        <v/>
      </c>
    </row>
    <row r="41">
      <c r="A41" s="14" t="n"/>
      <c r="B41" s="15" t="n"/>
      <c r="C41" s="15" t="n"/>
      <c r="D41" s="15" t="n"/>
      <c r="E41" s="16" t="n"/>
      <c r="F41" s="16" t="n"/>
      <c r="G41" s="16" t="n"/>
      <c r="H41" s="17" t="n"/>
      <c r="I41" s="18" t="n"/>
      <c r="J41" s="18" t="n"/>
      <c r="K41" s="19" t="n"/>
      <c r="L41" s="20">
        <f>IF($B41="","",IFERROR(VLOOKUP($B41,'تنظیمات'!$A$4:$C$43,2,FALSE),1))</f>
        <v/>
      </c>
      <c r="M41" s="21">
        <f>IF($B41="","",IFERROR(VLOOKUP($B41,'تنظیمات'!$A$4:$C$43,3,FALSE),"USD"))</f>
        <v/>
      </c>
      <c r="N41" s="22">
        <f>IF(OR($E41="",$F41="",$H41="",$L41=""),"",ABS($E41-$F41)*$H41*IF($M41="BASE",$L41/$E41,$L41))</f>
        <v/>
      </c>
      <c r="O41" s="22">
        <f>IF($J41&lt;&gt;"",$J41,IF(OR($E41="",$G41="",$H41="",$L41=""),"",($G41-$E41)*IF($C41="فروش",-1,1)*$H41*IF($M41="BASE",$L41/$G41,$L41)))</f>
        <v/>
      </c>
      <c r="P41" s="22">
        <f>IF($O41="","",$O41-N($I41))</f>
        <v/>
      </c>
      <c r="Q41" s="23">
        <f>IF(OR($P41="",$N41="",$N41=0),"",$P41/$N41)</f>
        <v/>
      </c>
      <c r="R41" s="21">
        <f>IF($P41="","",IF($P41&gt;0,"برد",IF($P41&lt;0,"باخت","سر به سر")))</f>
        <v/>
      </c>
      <c r="S41" s="22">
        <f>IF($P41="","",SUM($P$5:$P41))</f>
        <v/>
      </c>
      <c r="T41" s="24">
        <f>IF($R41="باخت",N($T40)+1,0)</f>
        <v/>
      </c>
      <c r="U41" s="22">
        <f>IF($S41="","",$S41-MAX($S$5:$S41))</f>
        <v/>
      </c>
    </row>
    <row r="42">
      <c r="A42" s="14" t="n"/>
      <c r="B42" s="15" t="n"/>
      <c r="C42" s="15" t="n"/>
      <c r="D42" s="15" t="n"/>
      <c r="E42" s="16" t="n"/>
      <c r="F42" s="16" t="n"/>
      <c r="G42" s="16" t="n"/>
      <c r="H42" s="17" t="n"/>
      <c r="I42" s="18" t="n"/>
      <c r="J42" s="18" t="n"/>
      <c r="K42" s="19" t="n"/>
      <c r="L42" s="20">
        <f>IF($B42="","",IFERROR(VLOOKUP($B42,'تنظیمات'!$A$4:$C$43,2,FALSE),1))</f>
        <v/>
      </c>
      <c r="M42" s="21">
        <f>IF($B42="","",IFERROR(VLOOKUP($B42,'تنظیمات'!$A$4:$C$43,3,FALSE),"USD"))</f>
        <v/>
      </c>
      <c r="N42" s="22">
        <f>IF(OR($E42="",$F42="",$H42="",$L42=""),"",ABS($E42-$F42)*$H42*IF($M42="BASE",$L42/$E42,$L42))</f>
        <v/>
      </c>
      <c r="O42" s="22">
        <f>IF($J42&lt;&gt;"",$J42,IF(OR($E42="",$G42="",$H42="",$L42=""),"",($G42-$E42)*IF($C42="فروش",-1,1)*$H42*IF($M42="BASE",$L42/$G42,$L42)))</f>
        <v/>
      </c>
      <c r="P42" s="22">
        <f>IF($O42="","",$O42-N($I42))</f>
        <v/>
      </c>
      <c r="Q42" s="23">
        <f>IF(OR($P42="",$N42="",$N42=0),"",$P42/$N42)</f>
        <v/>
      </c>
      <c r="R42" s="21">
        <f>IF($P42="","",IF($P42&gt;0,"برد",IF($P42&lt;0,"باخت","سر به سر")))</f>
        <v/>
      </c>
      <c r="S42" s="22">
        <f>IF($P42="","",SUM($P$5:$P42))</f>
        <v/>
      </c>
      <c r="T42" s="24">
        <f>IF($R42="باخت",N($T41)+1,0)</f>
        <v/>
      </c>
      <c r="U42" s="22">
        <f>IF($S42="","",$S42-MAX($S$5:$S42))</f>
        <v/>
      </c>
    </row>
    <row r="43">
      <c r="A43" s="14" t="n"/>
      <c r="B43" s="15" t="n"/>
      <c r="C43" s="15" t="n"/>
      <c r="D43" s="15" t="n"/>
      <c r="E43" s="16" t="n"/>
      <c r="F43" s="16" t="n"/>
      <c r="G43" s="16" t="n"/>
      <c r="H43" s="17" t="n"/>
      <c r="I43" s="18" t="n"/>
      <c r="J43" s="18" t="n"/>
      <c r="K43" s="19" t="n"/>
      <c r="L43" s="20">
        <f>IF($B43="","",IFERROR(VLOOKUP($B43,'تنظیمات'!$A$4:$C$43,2,FALSE),1))</f>
        <v/>
      </c>
      <c r="M43" s="21">
        <f>IF($B43="","",IFERROR(VLOOKUP($B43,'تنظیمات'!$A$4:$C$43,3,FALSE),"USD"))</f>
        <v/>
      </c>
      <c r="N43" s="22">
        <f>IF(OR($E43="",$F43="",$H43="",$L43=""),"",ABS($E43-$F43)*$H43*IF($M43="BASE",$L43/$E43,$L43))</f>
        <v/>
      </c>
      <c r="O43" s="22">
        <f>IF($J43&lt;&gt;"",$J43,IF(OR($E43="",$G43="",$H43="",$L43=""),"",($G43-$E43)*IF($C43="فروش",-1,1)*$H43*IF($M43="BASE",$L43/$G43,$L43)))</f>
        <v/>
      </c>
      <c r="P43" s="22">
        <f>IF($O43="","",$O43-N($I43))</f>
        <v/>
      </c>
      <c r="Q43" s="23">
        <f>IF(OR($P43="",$N43="",$N43=0),"",$P43/$N43)</f>
        <v/>
      </c>
      <c r="R43" s="21">
        <f>IF($P43="","",IF($P43&gt;0,"برد",IF($P43&lt;0,"باخت","سر به سر")))</f>
        <v/>
      </c>
      <c r="S43" s="22">
        <f>IF($P43="","",SUM($P$5:$P43))</f>
        <v/>
      </c>
      <c r="T43" s="24">
        <f>IF($R43="باخت",N($T42)+1,0)</f>
        <v/>
      </c>
      <c r="U43" s="22">
        <f>IF($S43="","",$S43-MAX($S$5:$S43))</f>
        <v/>
      </c>
    </row>
    <row r="44">
      <c r="A44" s="14" t="n"/>
      <c r="B44" s="15" t="n"/>
      <c r="C44" s="15" t="n"/>
      <c r="D44" s="15" t="n"/>
      <c r="E44" s="16" t="n"/>
      <c r="F44" s="16" t="n"/>
      <c r="G44" s="16" t="n"/>
      <c r="H44" s="17" t="n"/>
      <c r="I44" s="18" t="n"/>
      <c r="J44" s="18" t="n"/>
      <c r="K44" s="19" t="n"/>
      <c r="L44" s="20">
        <f>IF($B44="","",IFERROR(VLOOKUP($B44,'تنظیمات'!$A$4:$C$43,2,FALSE),1))</f>
        <v/>
      </c>
      <c r="M44" s="21">
        <f>IF($B44="","",IFERROR(VLOOKUP($B44,'تنظیمات'!$A$4:$C$43,3,FALSE),"USD"))</f>
        <v/>
      </c>
      <c r="N44" s="22">
        <f>IF(OR($E44="",$F44="",$H44="",$L44=""),"",ABS($E44-$F44)*$H44*IF($M44="BASE",$L44/$E44,$L44))</f>
        <v/>
      </c>
      <c r="O44" s="22">
        <f>IF($J44&lt;&gt;"",$J44,IF(OR($E44="",$G44="",$H44="",$L44=""),"",($G44-$E44)*IF($C44="فروش",-1,1)*$H44*IF($M44="BASE",$L44/$G44,$L44)))</f>
        <v/>
      </c>
      <c r="P44" s="22">
        <f>IF($O44="","",$O44-N($I44))</f>
        <v/>
      </c>
      <c r="Q44" s="23">
        <f>IF(OR($P44="",$N44="",$N44=0),"",$P44/$N44)</f>
        <v/>
      </c>
      <c r="R44" s="21">
        <f>IF($P44="","",IF($P44&gt;0,"برد",IF($P44&lt;0,"باخت","سر به سر")))</f>
        <v/>
      </c>
      <c r="S44" s="22">
        <f>IF($P44="","",SUM($P$5:$P44))</f>
        <v/>
      </c>
      <c r="T44" s="24">
        <f>IF($R44="باخت",N($T43)+1,0)</f>
        <v/>
      </c>
      <c r="U44" s="22">
        <f>IF($S44="","",$S44-MAX($S$5:$S44))</f>
        <v/>
      </c>
    </row>
    <row r="45">
      <c r="A45" s="14" t="n"/>
      <c r="B45" s="15" t="n"/>
      <c r="C45" s="15" t="n"/>
      <c r="D45" s="15" t="n"/>
      <c r="E45" s="16" t="n"/>
      <c r="F45" s="16" t="n"/>
      <c r="G45" s="16" t="n"/>
      <c r="H45" s="17" t="n"/>
      <c r="I45" s="18" t="n"/>
      <c r="J45" s="18" t="n"/>
      <c r="K45" s="19" t="n"/>
      <c r="L45" s="20">
        <f>IF($B45="","",IFERROR(VLOOKUP($B45,'تنظیمات'!$A$4:$C$43,2,FALSE),1))</f>
        <v/>
      </c>
      <c r="M45" s="21">
        <f>IF($B45="","",IFERROR(VLOOKUP($B45,'تنظیمات'!$A$4:$C$43,3,FALSE),"USD"))</f>
        <v/>
      </c>
      <c r="N45" s="22">
        <f>IF(OR($E45="",$F45="",$H45="",$L45=""),"",ABS($E45-$F45)*$H45*IF($M45="BASE",$L45/$E45,$L45))</f>
        <v/>
      </c>
      <c r="O45" s="22">
        <f>IF($J45&lt;&gt;"",$J45,IF(OR($E45="",$G45="",$H45="",$L45=""),"",($G45-$E45)*IF($C45="فروش",-1,1)*$H45*IF($M45="BASE",$L45/$G45,$L45)))</f>
        <v/>
      </c>
      <c r="P45" s="22">
        <f>IF($O45="","",$O45-N($I45))</f>
        <v/>
      </c>
      <c r="Q45" s="23">
        <f>IF(OR($P45="",$N45="",$N45=0),"",$P45/$N45)</f>
        <v/>
      </c>
      <c r="R45" s="21">
        <f>IF($P45="","",IF($P45&gt;0,"برد",IF($P45&lt;0,"باخت","سر به سر")))</f>
        <v/>
      </c>
      <c r="S45" s="22">
        <f>IF($P45="","",SUM($P$5:$P45))</f>
        <v/>
      </c>
      <c r="T45" s="24">
        <f>IF($R45="باخت",N($T44)+1,0)</f>
        <v/>
      </c>
      <c r="U45" s="22">
        <f>IF($S45="","",$S45-MAX($S$5:$S45))</f>
        <v/>
      </c>
    </row>
    <row r="46">
      <c r="A46" s="14" t="n"/>
      <c r="B46" s="15" t="n"/>
      <c r="C46" s="15" t="n"/>
      <c r="D46" s="15" t="n"/>
      <c r="E46" s="16" t="n"/>
      <c r="F46" s="16" t="n"/>
      <c r="G46" s="16" t="n"/>
      <c r="H46" s="17" t="n"/>
      <c r="I46" s="18" t="n"/>
      <c r="J46" s="18" t="n"/>
      <c r="K46" s="19" t="n"/>
      <c r="L46" s="20">
        <f>IF($B46="","",IFERROR(VLOOKUP($B46,'تنظیمات'!$A$4:$C$43,2,FALSE),1))</f>
        <v/>
      </c>
      <c r="M46" s="21">
        <f>IF($B46="","",IFERROR(VLOOKUP($B46,'تنظیمات'!$A$4:$C$43,3,FALSE),"USD"))</f>
        <v/>
      </c>
      <c r="N46" s="22">
        <f>IF(OR($E46="",$F46="",$H46="",$L46=""),"",ABS($E46-$F46)*$H46*IF($M46="BASE",$L46/$E46,$L46))</f>
        <v/>
      </c>
      <c r="O46" s="22">
        <f>IF($J46&lt;&gt;"",$J46,IF(OR($E46="",$G46="",$H46="",$L46=""),"",($G46-$E46)*IF($C46="فروش",-1,1)*$H46*IF($M46="BASE",$L46/$G46,$L46)))</f>
        <v/>
      </c>
      <c r="P46" s="22">
        <f>IF($O46="","",$O46-N($I46))</f>
        <v/>
      </c>
      <c r="Q46" s="23">
        <f>IF(OR($P46="",$N46="",$N46=0),"",$P46/$N46)</f>
        <v/>
      </c>
      <c r="R46" s="21">
        <f>IF($P46="","",IF($P46&gt;0,"برد",IF($P46&lt;0,"باخت","سر به سر")))</f>
        <v/>
      </c>
      <c r="S46" s="22">
        <f>IF($P46="","",SUM($P$5:$P46))</f>
        <v/>
      </c>
      <c r="T46" s="24">
        <f>IF($R46="باخت",N($T45)+1,0)</f>
        <v/>
      </c>
      <c r="U46" s="22">
        <f>IF($S46="","",$S46-MAX($S$5:$S46))</f>
        <v/>
      </c>
    </row>
    <row r="47">
      <c r="A47" s="14" t="n"/>
      <c r="B47" s="15" t="n"/>
      <c r="C47" s="15" t="n"/>
      <c r="D47" s="15" t="n"/>
      <c r="E47" s="16" t="n"/>
      <c r="F47" s="16" t="n"/>
      <c r="G47" s="16" t="n"/>
      <c r="H47" s="17" t="n"/>
      <c r="I47" s="18" t="n"/>
      <c r="J47" s="18" t="n"/>
      <c r="K47" s="19" t="n"/>
      <c r="L47" s="20">
        <f>IF($B47="","",IFERROR(VLOOKUP($B47,'تنظیمات'!$A$4:$C$43,2,FALSE),1))</f>
        <v/>
      </c>
      <c r="M47" s="21">
        <f>IF($B47="","",IFERROR(VLOOKUP($B47,'تنظیمات'!$A$4:$C$43,3,FALSE),"USD"))</f>
        <v/>
      </c>
      <c r="N47" s="22">
        <f>IF(OR($E47="",$F47="",$H47="",$L47=""),"",ABS($E47-$F47)*$H47*IF($M47="BASE",$L47/$E47,$L47))</f>
        <v/>
      </c>
      <c r="O47" s="22">
        <f>IF($J47&lt;&gt;"",$J47,IF(OR($E47="",$G47="",$H47="",$L47=""),"",($G47-$E47)*IF($C47="فروش",-1,1)*$H47*IF($M47="BASE",$L47/$G47,$L47)))</f>
        <v/>
      </c>
      <c r="P47" s="22">
        <f>IF($O47="","",$O47-N($I47))</f>
        <v/>
      </c>
      <c r="Q47" s="23">
        <f>IF(OR($P47="",$N47="",$N47=0),"",$P47/$N47)</f>
        <v/>
      </c>
      <c r="R47" s="21">
        <f>IF($P47="","",IF($P47&gt;0,"برد",IF($P47&lt;0,"باخت","سر به سر")))</f>
        <v/>
      </c>
      <c r="S47" s="22">
        <f>IF($P47="","",SUM($P$5:$P47))</f>
        <v/>
      </c>
      <c r="T47" s="24">
        <f>IF($R47="باخت",N($T46)+1,0)</f>
        <v/>
      </c>
      <c r="U47" s="22">
        <f>IF($S47="","",$S47-MAX($S$5:$S47))</f>
        <v/>
      </c>
    </row>
    <row r="48">
      <c r="A48" s="14" t="n"/>
      <c r="B48" s="15" t="n"/>
      <c r="C48" s="15" t="n"/>
      <c r="D48" s="15" t="n"/>
      <c r="E48" s="16" t="n"/>
      <c r="F48" s="16" t="n"/>
      <c r="G48" s="16" t="n"/>
      <c r="H48" s="17" t="n"/>
      <c r="I48" s="18" t="n"/>
      <c r="J48" s="18" t="n"/>
      <c r="K48" s="19" t="n"/>
      <c r="L48" s="20">
        <f>IF($B48="","",IFERROR(VLOOKUP($B48,'تنظیمات'!$A$4:$C$43,2,FALSE),1))</f>
        <v/>
      </c>
      <c r="M48" s="21">
        <f>IF($B48="","",IFERROR(VLOOKUP($B48,'تنظیمات'!$A$4:$C$43,3,FALSE),"USD"))</f>
        <v/>
      </c>
      <c r="N48" s="22">
        <f>IF(OR($E48="",$F48="",$H48="",$L48=""),"",ABS($E48-$F48)*$H48*IF($M48="BASE",$L48/$E48,$L48))</f>
        <v/>
      </c>
      <c r="O48" s="22">
        <f>IF($J48&lt;&gt;"",$J48,IF(OR($E48="",$G48="",$H48="",$L48=""),"",($G48-$E48)*IF($C48="فروش",-1,1)*$H48*IF($M48="BASE",$L48/$G48,$L48)))</f>
        <v/>
      </c>
      <c r="P48" s="22">
        <f>IF($O48="","",$O48-N($I48))</f>
        <v/>
      </c>
      <c r="Q48" s="23">
        <f>IF(OR($P48="",$N48="",$N48=0),"",$P48/$N48)</f>
        <v/>
      </c>
      <c r="R48" s="21">
        <f>IF($P48="","",IF($P48&gt;0,"برد",IF($P48&lt;0,"باخت","سر به سر")))</f>
        <v/>
      </c>
      <c r="S48" s="22">
        <f>IF($P48="","",SUM($P$5:$P48))</f>
        <v/>
      </c>
      <c r="T48" s="24">
        <f>IF($R48="باخت",N($T47)+1,0)</f>
        <v/>
      </c>
      <c r="U48" s="22">
        <f>IF($S48="","",$S48-MAX($S$5:$S48))</f>
        <v/>
      </c>
    </row>
    <row r="49">
      <c r="A49" s="14" t="n"/>
      <c r="B49" s="15" t="n"/>
      <c r="C49" s="15" t="n"/>
      <c r="D49" s="15" t="n"/>
      <c r="E49" s="16" t="n"/>
      <c r="F49" s="16" t="n"/>
      <c r="G49" s="16" t="n"/>
      <c r="H49" s="17" t="n"/>
      <c r="I49" s="18" t="n"/>
      <c r="J49" s="18" t="n"/>
      <c r="K49" s="19" t="n"/>
      <c r="L49" s="20">
        <f>IF($B49="","",IFERROR(VLOOKUP($B49,'تنظیمات'!$A$4:$C$43,2,FALSE),1))</f>
        <v/>
      </c>
      <c r="M49" s="21">
        <f>IF($B49="","",IFERROR(VLOOKUP($B49,'تنظیمات'!$A$4:$C$43,3,FALSE),"USD"))</f>
        <v/>
      </c>
      <c r="N49" s="22">
        <f>IF(OR($E49="",$F49="",$H49="",$L49=""),"",ABS($E49-$F49)*$H49*IF($M49="BASE",$L49/$E49,$L49))</f>
        <v/>
      </c>
      <c r="O49" s="22">
        <f>IF($J49&lt;&gt;"",$J49,IF(OR($E49="",$G49="",$H49="",$L49=""),"",($G49-$E49)*IF($C49="فروش",-1,1)*$H49*IF($M49="BASE",$L49/$G49,$L49)))</f>
        <v/>
      </c>
      <c r="P49" s="22">
        <f>IF($O49="","",$O49-N($I49))</f>
        <v/>
      </c>
      <c r="Q49" s="23">
        <f>IF(OR($P49="",$N49="",$N49=0),"",$P49/$N49)</f>
        <v/>
      </c>
      <c r="R49" s="21">
        <f>IF($P49="","",IF($P49&gt;0,"برد",IF($P49&lt;0,"باخت","سر به سر")))</f>
        <v/>
      </c>
      <c r="S49" s="22">
        <f>IF($P49="","",SUM($P$5:$P49))</f>
        <v/>
      </c>
      <c r="T49" s="24">
        <f>IF($R49="باخت",N($T48)+1,0)</f>
        <v/>
      </c>
      <c r="U49" s="22">
        <f>IF($S49="","",$S49-MAX($S$5:$S49))</f>
        <v/>
      </c>
    </row>
    <row r="50">
      <c r="A50" s="14" t="n"/>
      <c r="B50" s="15" t="n"/>
      <c r="C50" s="15" t="n"/>
      <c r="D50" s="15" t="n"/>
      <c r="E50" s="16" t="n"/>
      <c r="F50" s="16" t="n"/>
      <c r="G50" s="16" t="n"/>
      <c r="H50" s="17" t="n"/>
      <c r="I50" s="18" t="n"/>
      <c r="J50" s="18" t="n"/>
      <c r="K50" s="19" t="n"/>
      <c r="L50" s="20">
        <f>IF($B50="","",IFERROR(VLOOKUP($B50,'تنظیمات'!$A$4:$C$43,2,FALSE),1))</f>
        <v/>
      </c>
      <c r="M50" s="21">
        <f>IF($B50="","",IFERROR(VLOOKUP($B50,'تنظیمات'!$A$4:$C$43,3,FALSE),"USD"))</f>
        <v/>
      </c>
      <c r="N50" s="22">
        <f>IF(OR($E50="",$F50="",$H50="",$L50=""),"",ABS($E50-$F50)*$H50*IF($M50="BASE",$L50/$E50,$L50))</f>
        <v/>
      </c>
      <c r="O50" s="22">
        <f>IF($J50&lt;&gt;"",$J50,IF(OR($E50="",$G50="",$H50="",$L50=""),"",($G50-$E50)*IF($C50="فروش",-1,1)*$H50*IF($M50="BASE",$L50/$G50,$L50)))</f>
        <v/>
      </c>
      <c r="P50" s="22">
        <f>IF($O50="","",$O50-N($I50))</f>
        <v/>
      </c>
      <c r="Q50" s="23">
        <f>IF(OR($P50="",$N50="",$N50=0),"",$P50/$N50)</f>
        <v/>
      </c>
      <c r="R50" s="21">
        <f>IF($P50="","",IF($P50&gt;0,"برد",IF($P50&lt;0,"باخت","سر به سر")))</f>
        <v/>
      </c>
      <c r="S50" s="22">
        <f>IF($P50="","",SUM($P$5:$P50))</f>
        <v/>
      </c>
      <c r="T50" s="24">
        <f>IF($R50="باخت",N($T49)+1,0)</f>
        <v/>
      </c>
      <c r="U50" s="22">
        <f>IF($S50="","",$S50-MAX($S$5:$S50))</f>
        <v/>
      </c>
    </row>
    <row r="51">
      <c r="A51" s="14" t="n"/>
      <c r="B51" s="15" t="n"/>
      <c r="C51" s="15" t="n"/>
      <c r="D51" s="15" t="n"/>
      <c r="E51" s="16" t="n"/>
      <c r="F51" s="16" t="n"/>
      <c r="G51" s="16" t="n"/>
      <c r="H51" s="17" t="n"/>
      <c r="I51" s="18" t="n"/>
      <c r="J51" s="18" t="n"/>
      <c r="K51" s="19" t="n"/>
      <c r="L51" s="20">
        <f>IF($B51="","",IFERROR(VLOOKUP($B51,'تنظیمات'!$A$4:$C$43,2,FALSE),1))</f>
        <v/>
      </c>
      <c r="M51" s="21">
        <f>IF($B51="","",IFERROR(VLOOKUP($B51,'تنظیمات'!$A$4:$C$43,3,FALSE),"USD"))</f>
        <v/>
      </c>
      <c r="N51" s="22">
        <f>IF(OR($E51="",$F51="",$H51="",$L51=""),"",ABS($E51-$F51)*$H51*IF($M51="BASE",$L51/$E51,$L51))</f>
        <v/>
      </c>
      <c r="O51" s="22">
        <f>IF($J51&lt;&gt;"",$J51,IF(OR($E51="",$G51="",$H51="",$L51=""),"",($G51-$E51)*IF($C51="فروش",-1,1)*$H51*IF($M51="BASE",$L51/$G51,$L51)))</f>
        <v/>
      </c>
      <c r="P51" s="22">
        <f>IF($O51="","",$O51-N($I51))</f>
        <v/>
      </c>
      <c r="Q51" s="23">
        <f>IF(OR($P51="",$N51="",$N51=0),"",$P51/$N51)</f>
        <v/>
      </c>
      <c r="R51" s="21">
        <f>IF($P51="","",IF($P51&gt;0,"برد",IF($P51&lt;0,"باخت","سر به سر")))</f>
        <v/>
      </c>
      <c r="S51" s="22">
        <f>IF($P51="","",SUM($P$5:$P51))</f>
        <v/>
      </c>
      <c r="T51" s="24">
        <f>IF($R51="باخت",N($T50)+1,0)</f>
        <v/>
      </c>
      <c r="U51" s="22">
        <f>IF($S51="","",$S51-MAX($S$5:$S51))</f>
        <v/>
      </c>
    </row>
    <row r="52">
      <c r="A52" s="14" t="n"/>
      <c r="B52" s="15" t="n"/>
      <c r="C52" s="15" t="n"/>
      <c r="D52" s="15" t="n"/>
      <c r="E52" s="16" t="n"/>
      <c r="F52" s="16" t="n"/>
      <c r="G52" s="16" t="n"/>
      <c r="H52" s="17" t="n"/>
      <c r="I52" s="18" t="n"/>
      <c r="J52" s="18" t="n"/>
      <c r="K52" s="19" t="n"/>
      <c r="L52" s="20">
        <f>IF($B52="","",IFERROR(VLOOKUP($B52,'تنظیمات'!$A$4:$C$43,2,FALSE),1))</f>
        <v/>
      </c>
      <c r="M52" s="21">
        <f>IF($B52="","",IFERROR(VLOOKUP($B52,'تنظیمات'!$A$4:$C$43,3,FALSE),"USD"))</f>
        <v/>
      </c>
      <c r="N52" s="22">
        <f>IF(OR($E52="",$F52="",$H52="",$L52=""),"",ABS($E52-$F52)*$H52*IF($M52="BASE",$L52/$E52,$L52))</f>
        <v/>
      </c>
      <c r="O52" s="22">
        <f>IF($J52&lt;&gt;"",$J52,IF(OR($E52="",$G52="",$H52="",$L52=""),"",($G52-$E52)*IF($C52="فروش",-1,1)*$H52*IF($M52="BASE",$L52/$G52,$L52)))</f>
        <v/>
      </c>
      <c r="P52" s="22">
        <f>IF($O52="","",$O52-N($I52))</f>
        <v/>
      </c>
      <c r="Q52" s="23">
        <f>IF(OR($P52="",$N52="",$N52=0),"",$P52/$N52)</f>
        <v/>
      </c>
      <c r="R52" s="21">
        <f>IF($P52="","",IF($P52&gt;0,"برد",IF($P52&lt;0,"باخت","سر به سر")))</f>
        <v/>
      </c>
      <c r="S52" s="22">
        <f>IF($P52="","",SUM($P$5:$P52))</f>
        <v/>
      </c>
      <c r="T52" s="24">
        <f>IF($R52="باخت",N($T51)+1,0)</f>
        <v/>
      </c>
      <c r="U52" s="22">
        <f>IF($S52="","",$S52-MAX($S$5:$S52))</f>
        <v/>
      </c>
    </row>
    <row r="53">
      <c r="A53" s="14" t="n"/>
      <c r="B53" s="15" t="n"/>
      <c r="C53" s="15" t="n"/>
      <c r="D53" s="15" t="n"/>
      <c r="E53" s="16" t="n"/>
      <c r="F53" s="16" t="n"/>
      <c r="G53" s="16" t="n"/>
      <c r="H53" s="17" t="n"/>
      <c r="I53" s="18" t="n"/>
      <c r="J53" s="18" t="n"/>
      <c r="K53" s="19" t="n"/>
      <c r="L53" s="20">
        <f>IF($B53="","",IFERROR(VLOOKUP($B53,'تنظیمات'!$A$4:$C$43,2,FALSE),1))</f>
        <v/>
      </c>
      <c r="M53" s="21">
        <f>IF($B53="","",IFERROR(VLOOKUP($B53,'تنظیمات'!$A$4:$C$43,3,FALSE),"USD"))</f>
        <v/>
      </c>
      <c r="N53" s="22">
        <f>IF(OR($E53="",$F53="",$H53="",$L53=""),"",ABS($E53-$F53)*$H53*IF($M53="BASE",$L53/$E53,$L53))</f>
        <v/>
      </c>
      <c r="O53" s="22">
        <f>IF($J53&lt;&gt;"",$J53,IF(OR($E53="",$G53="",$H53="",$L53=""),"",($G53-$E53)*IF($C53="فروش",-1,1)*$H53*IF($M53="BASE",$L53/$G53,$L53)))</f>
        <v/>
      </c>
      <c r="P53" s="22">
        <f>IF($O53="","",$O53-N($I53))</f>
        <v/>
      </c>
      <c r="Q53" s="23">
        <f>IF(OR($P53="",$N53="",$N53=0),"",$P53/$N53)</f>
        <v/>
      </c>
      <c r="R53" s="21">
        <f>IF($P53="","",IF($P53&gt;0,"برد",IF($P53&lt;0,"باخت","سر به سر")))</f>
        <v/>
      </c>
      <c r="S53" s="22">
        <f>IF($P53="","",SUM($P$5:$P53))</f>
        <v/>
      </c>
      <c r="T53" s="24">
        <f>IF($R53="باخت",N($T52)+1,0)</f>
        <v/>
      </c>
      <c r="U53" s="22">
        <f>IF($S53="","",$S53-MAX($S$5:$S53))</f>
        <v/>
      </c>
    </row>
    <row r="54">
      <c r="A54" s="14" t="n"/>
      <c r="B54" s="15" t="n"/>
      <c r="C54" s="15" t="n"/>
      <c r="D54" s="15" t="n"/>
      <c r="E54" s="16" t="n"/>
      <c r="F54" s="16" t="n"/>
      <c r="G54" s="16" t="n"/>
      <c r="H54" s="17" t="n"/>
      <c r="I54" s="18" t="n"/>
      <c r="J54" s="18" t="n"/>
      <c r="K54" s="19" t="n"/>
      <c r="L54" s="20">
        <f>IF($B54="","",IFERROR(VLOOKUP($B54,'تنظیمات'!$A$4:$C$43,2,FALSE),1))</f>
        <v/>
      </c>
      <c r="M54" s="21">
        <f>IF($B54="","",IFERROR(VLOOKUP($B54,'تنظیمات'!$A$4:$C$43,3,FALSE),"USD"))</f>
        <v/>
      </c>
      <c r="N54" s="22">
        <f>IF(OR($E54="",$F54="",$H54="",$L54=""),"",ABS($E54-$F54)*$H54*IF($M54="BASE",$L54/$E54,$L54))</f>
        <v/>
      </c>
      <c r="O54" s="22">
        <f>IF($J54&lt;&gt;"",$J54,IF(OR($E54="",$G54="",$H54="",$L54=""),"",($G54-$E54)*IF($C54="فروش",-1,1)*$H54*IF($M54="BASE",$L54/$G54,$L54)))</f>
        <v/>
      </c>
      <c r="P54" s="22">
        <f>IF($O54="","",$O54-N($I54))</f>
        <v/>
      </c>
      <c r="Q54" s="23">
        <f>IF(OR($P54="",$N54="",$N54=0),"",$P54/$N54)</f>
        <v/>
      </c>
      <c r="R54" s="21">
        <f>IF($P54="","",IF($P54&gt;0,"برد",IF($P54&lt;0,"باخت","سر به سر")))</f>
        <v/>
      </c>
      <c r="S54" s="22">
        <f>IF($P54="","",SUM($P$5:$P54))</f>
        <v/>
      </c>
      <c r="T54" s="24">
        <f>IF($R54="باخت",N($T53)+1,0)</f>
        <v/>
      </c>
      <c r="U54" s="22">
        <f>IF($S54="","",$S54-MAX($S$5:$S54))</f>
        <v/>
      </c>
    </row>
    <row r="55">
      <c r="A55" s="14" t="n"/>
      <c r="B55" s="15" t="n"/>
      <c r="C55" s="15" t="n"/>
      <c r="D55" s="15" t="n"/>
      <c r="E55" s="16" t="n"/>
      <c r="F55" s="16" t="n"/>
      <c r="G55" s="16" t="n"/>
      <c r="H55" s="17" t="n"/>
      <c r="I55" s="18" t="n"/>
      <c r="J55" s="18" t="n"/>
      <c r="K55" s="19" t="n"/>
      <c r="L55" s="20">
        <f>IF($B55="","",IFERROR(VLOOKUP($B55,'تنظیمات'!$A$4:$C$43,2,FALSE),1))</f>
        <v/>
      </c>
      <c r="M55" s="21">
        <f>IF($B55="","",IFERROR(VLOOKUP($B55,'تنظیمات'!$A$4:$C$43,3,FALSE),"USD"))</f>
        <v/>
      </c>
      <c r="N55" s="22">
        <f>IF(OR($E55="",$F55="",$H55="",$L55=""),"",ABS($E55-$F55)*$H55*IF($M55="BASE",$L55/$E55,$L55))</f>
        <v/>
      </c>
      <c r="O55" s="22">
        <f>IF($J55&lt;&gt;"",$J55,IF(OR($E55="",$G55="",$H55="",$L55=""),"",($G55-$E55)*IF($C55="فروش",-1,1)*$H55*IF($M55="BASE",$L55/$G55,$L55)))</f>
        <v/>
      </c>
      <c r="P55" s="22">
        <f>IF($O55="","",$O55-N($I55))</f>
        <v/>
      </c>
      <c r="Q55" s="23">
        <f>IF(OR($P55="",$N55="",$N55=0),"",$P55/$N55)</f>
        <v/>
      </c>
      <c r="R55" s="21">
        <f>IF($P55="","",IF($P55&gt;0,"برد",IF($P55&lt;0,"باخت","سر به سر")))</f>
        <v/>
      </c>
      <c r="S55" s="22">
        <f>IF($P55="","",SUM($P$5:$P55))</f>
        <v/>
      </c>
      <c r="T55" s="24">
        <f>IF($R55="باخت",N($T54)+1,0)</f>
        <v/>
      </c>
      <c r="U55" s="22">
        <f>IF($S55="","",$S55-MAX($S$5:$S55))</f>
        <v/>
      </c>
    </row>
    <row r="56">
      <c r="A56" s="14" t="n"/>
      <c r="B56" s="15" t="n"/>
      <c r="C56" s="15" t="n"/>
      <c r="D56" s="15" t="n"/>
      <c r="E56" s="16" t="n"/>
      <c r="F56" s="16" t="n"/>
      <c r="G56" s="16" t="n"/>
      <c r="H56" s="17" t="n"/>
      <c r="I56" s="18" t="n"/>
      <c r="J56" s="18" t="n"/>
      <c r="K56" s="19" t="n"/>
      <c r="L56" s="20">
        <f>IF($B56="","",IFERROR(VLOOKUP($B56,'تنظیمات'!$A$4:$C$43,2,FALSE),1))</f>
        <v/>
      </c>
      <c r="M56" s="21">
        <f>IF($B56="","",IFERROR(VLOOKUP($B56,'تنظیمات'!$A$4:$C$43,3,FALSE),"USD"))</f>
        <v/>
      </c>
      <c r="N56" s="22">
        <f>IF(OR($E56="",$F56="",$H56="",$L56=""),"",ABS($E56-$F56)*$H56*IF($M56="BASE",$L56/$E56,$L56))</f>
        <v/>
      </c>
      <c r="O56" s="22">
        <f>IF($J56&lt;&gt;"",$J56,IF(OR($E56="",$G56="",$H56="",$L56=""),"",($G56-$E56)*IF($C56="فروش",-1,1)*$H56*IF($M56="BASE",$L56/$G56,$L56)))</f>
        <v/>
      </c>
      <c r="P56" s="22">
        <f>IF($O56="","",$O56-N($I56))</f>
        <v/>
      </c>
      <c r="Q56" s="23">
        <f>IF(OR($P56="",$N56="",$N56=0),"",$P56/$N56)</f>
        <v/>
      </c>
      <c r="R56" s="21">
        <f>IF($P56="","",IF($P56&gt;0,"برد",IF($P56&lt;0,"باخت","سر به سر")))</f>
        <v/>
      </c>
      <c r="S56" s="22">
        <f>IF($P56="","",SUM($P$5:$P56))</f>
        <v/>
      </c>
      <c r="T56" s="24">
        <f>IF($R56="باخت",N($T55)+1,0)</f>
        <v/>
      </c>
      <c r="U56" s="22">
        <f>IF($S56="","",$S56-MAX($S$5:$S56))</f>
        <v/>
      </c>
    </row>
    <row r="57">
      <c r="A57" s="14" t="n"/>
      <c r="B57" s="15" t="n"/>
      <c r="C57" s="15" t="n"/>
      <c r="D57" s="15" t="n"/>
      <c r="E57" s="16" t="n"/>
      <c r="F57" s="16" t="n"/>
      <c r="G57" s="16" t="n"/>
      <c r="H57" s="17" t="n"/>
      <c r="I57" s="18" t="n"/>
      <c r="J57" s="18" t="n"/>
      <c r="K57" s="19" t="n"/>
      <c r="L57" s="20">
        <f>IF($B57="","",IFERROR(VLOOKUP($B57,'تنظیمات'!$A$4:$C$43,2,FALSE),1))</f>
        <v/>
      </c>
      <c r="M57" s="21">
        <f>IF($B57="","",IFERROR(VLOOKUP($B57,'تنظیمات'!$A$4:$C$43,3,FALSE),"USD"))</f>
        <v/>
      </c>
      <c r="N57" s="22">
        <f>IF(OR($E57="",$F57="",$H57="",$L57=""),"",ABS($E57-$F57)*$H57*IF($M57="BASE",$L57/$E57,$L57))</f>
        <v/>
      </c>
      <c r="O57" s="22">
        <f>IF($J57&lt;&gt;"",$J57,IF(OR($E57="",$G57="",$H57="",$L57=""),"",($G57-$E57)*IF($C57="فروش",-1,1)*$H57*IF($M57="BASE",$L57/$G57,$L57)))</f>
        <v/>
      </c>
      <c r="P57" s="22">
        <f>IF($O57="","",$O57-N($I57))</f>
        <v/>
      </c>
      <c r="Q57" s="23">
        <f>IF(OR($P57="",$N57="",$N57=0),"",$P57/$N57)</f>
        <v/>
      </c>
      <c r="R57" s="21">
        <f>IF($P57="","",IF($P57&gt;0,"برد",IF($P57&lt;0,"باخت","سر به سر")))</f>
        <v/>
      </c>
      <c r="S57" s="22">
        <f>IF($P57="","",SUM($P$5:$P57))</f>
        <v/>
      </c>
      <c r="T57" s="24">
        <f>IF($R57="باخت",N($T56)+1,0)</f>
        <v/>
      </c>
      <c r="U57" s="22">
        <f>IF($S57="","",$S57-MAX($S$5:$S57))</f>
        <v/>
      </c>
    </row>
    <row r="58">
      <c r="A58" s="14" t="n"/>
      <c r="B58" s="15" t="n"/>
      <c r="C58" s="15" t="n"/>
      <c r="D58" s="15" t="n"/>
      <c r="E58" s="16" t="n"/>
      <c r="F58" s="16" t="n"/>
      <c r="G58" s="16" t="n"/>
      <c r="H58" s="17" t="n"/>
      <c r="I58" s="18" t="n"/>
      <c r="J58" s="18" t="n"/>
      <c r="K58" s="19" t="n"/>
      <c r="L58" s="20">
        <f>IF($B58="","",IFERROR(VLOOKUP($B58,'تنظیمات'!$A$4:$C$43,2,FALSE),1))</f>
        <v/>
      </c>
      <c r="M58" s="21">
        <f>IF($B58="","",IFERROR(VLOOKUP($B58,'تنظیمات'!$A$4:$C$43,3,FALSE),"USD"))</f>
        <v/>
      </c>
      <c r="N58" s="22">
        <f>IF(OR($E58="",$F58="",$H58="",$L58=""),"",ABS($E58-$F58)*$H58*IF($M58="BASE",$L58/$E58,$L58))</f>
        <v/>
      </c>
      <c r="O58" s="22">
        <f>IF($J58&lt;&gt;"",$J58,IF(OR($E58="",$G58="",$H58="",$L58=""),"",($G58-$E58)*IF($C58="فروش",-1,1)*$H58*IF($M58="BASE",$L58/$G58,$L58)))</f>
        <v/>
      </c>
      <c r="P58" s="22">
        <f>IF($O58="","",$O58-N($I58))</f>
        <v/>
      </c>
      <c r="Q58" s="23">
        <f>IF(OR($P58="",$N58="",$N58=0),"",$P58/$N58)</f>
        <v/>
      </c>
      <c r="R58" s="21">
        <f>IF($P58="","",IF($P58&gt;0,"برد",IF($P58&lt;0,"باخت","سر به سر")))</f>
        <v/>
      </c>
      <c r="S58" s="22">
        <f>IF($P58="","",SUM($P$5:$P58))</f>
        <v/>
      </c>
      <c r="T58" s="24">
        <f>IF($R58="باخت",N($T57)+1,0)</f>
        <v/>
      </c>
      <c r="U58" s="22">
        <f>IF($S58="","",$S58-MAX($S$5:$S58))</f>
        <v/>
      </c>
    </row>
    <row r="59">
      <c r="A59" s="14" t="n"/>
      <c r="B59" s="15" t="n"/>
      <c r="C59" s="15" t="n"/>
      <c r="D59" s="15" t="n"/>
      <c r="E59" s="16" t="n"/>
      <c r="F59" s="16" t="n"/>
      <c r="G59" s="16" t="n"/>
      <c r="H59" s="17" t="n"/>
      <c r="I59" s="18" t="n"/>
      <c r="J59" s="18" t="n"/>
      <c r="K59" s="19" t="n"/>
      <c r="L59" s="20">
        <f>IF($B59="","",IFERROR(VLOOKUP($B59,'تنظیمات'!$A$4:$C$43,2,FALSE),1))</f>
        <v/>
      </c>
      <c r="M59" s="21">
        <f>IF($B59="","",IFERROR(VLOOKUP($B59,'تنظیمات'!$A$4:$C$43,3,FALSE),"USD"))</f>
        <v/>
      </c>
      <c r="N59" s="22">
        <f>IF(OR($E59="",$F59="",$H59="",$L59=""),"",ABS($E59-$F59)*$H59*IF($M59="BASE",$L59/$E59,$L59))</f>
        <v/>
      </c>
      <c r="O59" s="22">
        <f>IF($J59&lt;&gt;"",$J59,IF(OR($E59="",$G59="",$H59="",$L59=""),"",($G59-$E59)*IF($C59="فروش",-1,1)*$H59*IF($M59="BASE",$L59/$G59,$L59)))</f>
        <v/>
      </c>
      <c r="P59" s="22">
        <f>IF($O59="","",$O59-N($I59))</f>
        <v/>
      </c>
      <c r="Q59" s="23">
        <f>IF(OR($P59="",$N59="",$N59=0),"",$P59/$N59)</f>
        <v/>
      </c>
      <c r="R59" s="21">
        <f>IF($P59="","",IF($P59&gt;0,"برد",IF($P59&lt;0,"باخت","سر به سر")))</f>
        <v/>
      </c>
      <c r="S59" s="22">
        <f>IF($P59="","",SUM($P$5:$P59))</f>
        <v/>
      </c>
      <c r="T59" s="24">
        <f>IF($R59="باخت",N($T58)+1,0)</f>
        <v/>
      </c>
      <c r="U59" s="22">
        <f>IF($S59="","",$S59-MAX($S$5:$S59))</f>
        <v/>
      </c>
    </row>
    <row r="60">
      <c r="A60" s="14" t="n"/>
      <c r="B60" s="15" t="n"/>
      <c r="C60" s="15" t="n"/>
      <c r="D60" s="15" t="n"/>
      <c r="E60" s="16" t="n"/>
      <c r="F60" s="16" t="n"/>
      <c r="G60" s="16" t="n"/>
      <c r="H60" s="17" t="n"/>
      <c r="I60" s="18" t="n"/>
      <c r="J60" s="18" t="n"/>
      <c r="K60" s="19" t="n"/>
      <c r="L60" s="20">
        <f>IF($B60="","",IFERROR(VLOOKUP($B60,'تنظیمات'!$A$4:$C$43,2,FALSE),1))</f>
        <v/>
      </c>
      <c r="M60" s="21">
        <f>IF($B60="","",IFERROR(VLOOKUP($B60,'تنظیمات'!$A$4:$C$43,3,FALSE),"USD"))</f>
        <v/>
      </c>
      <c r="N60" s="22">
        <f>IF(OR($E60="",$F60="",$H60="",$L60=""),"",ABS($E60-$F60)*$H60*IF($M60="BASE",$L60/$E60,$L60))</f>
        <v/>
      </c>
      <c r="O60" s="22">
        <f>IF($J60&lt;&gt;"",$J60,IF(OR($E60="",$G60="",$H60="",$L60=""),"",($G60-$E60)*IF($C60="فروش",-1,1)*$H60*IF($M60="BASE",$L60/$G60,$L60)))</f>
        <v/>
      </c>
      <c r="P60" s="22">
        <f>IF($O60="","",$O60-N($I60))</f>
        <v/>
      </c>
      <c r="Q60" s="23">
        <f>IF(OR($P60="",$N60="",$N60=0),"",$P60/$N60)</f>
        <v/>
      </c>
      <c r="R60" s="21">
        <f>IF($P60="","",IF($P60&gt;0,"برد",IF($P60&lt;0,"باخت","سر به سر")))</f>
        <v/>
      </c>
      <c r="S60" s="22">
        <f>IF($P60="","",SUM($P$5:$P60))</f>
        <v/>
      </c>
      <c r="T60" s="24">
        <f>IF($R60="باخت",N($T59)+1,0)</f>
        <v/>
      </c>
      <c r="U60" s="22">
        <f>IF($S60="","",$S60-MAX($S$5:$S60))</f>
        <v/>
      </c>
    </row>
    <row r="61">
      <c r="A61" s="14" t="n"/>
      <c r="B61" s="15" t="n"/>
      <c r="C61" s="15" t="n"/>
      <c r="D61" s="15" t="n"/>
      <c r="E61" s="16" t="n"/>
      <c r="F61" s="16" t="n"/>
      <c r="G61" s="16" t="n"/>
      <c r="H61" s="17" t="n"/>
      <c r="I61" s="18" t="n"/>
      <c r="J61" s="18" t="n"/>
      <c r="K61" s="19" t="n"/>
      <c r="L61" s="20">
        <f>IF($B61="","",IFERROR(VLOOKUP($B61,'تنظیمات'!$A$4:$C$43,2,FALSE),1))</f>
        <v/>
      </c>
      <c r="M61" s="21">
        <f>IF($B61="","",IFERROR(VLOOKUP($B61,'تنظیمات'!$A$4:$C$43,3,FALSE),"USD"))</f>
        <v/>
      </c>
      <c r="N61" s="22">
        <f>IF(OR($E61="",$F61="",$H61="",$L61=""),"",ABS($E61-$F61)*$H61*IF($M61="BASE",$L61/$E61,$L61))</f>
        <v/>
      </c>
      <c r="O61" s="22">
        <f>IF($J61&lt;&gt;"",$J61,IF(OR($E61="",$G61="",$H61="",$L61=""),"",($G61-$E61)*IF($C61="فروش",-1,1)*$H61*IF($M61="BASE",$L61/$G61,$L61)))</f>
        <v/>
      </c>
      <c r="P61" s="22">
        <f>IF($O61="","",$O61-N($I61))</f>
        <v/>
      </c>
      <c r="Q61" s="23">
        <f>IF(OR($P61="",$N61="",$N61=0),"",$P61/$N61)</f>
        <v/>
      </c>
      <c r="R61" s="21">
        <f>IF($P61="","",IF($P61&gt;0,"برد",IF($P61&lt;0,"باخت","سر به سر")))</f>
        <v/>
      </c>
      <c r="S61" s="22">
        <f>IF($P61="","",SUM($P$5:$P61))</f>
        <v/>
      </c>
      <c r="T61" s="24">
        <f>IF($R61="باخت",N($T60)+1,0)</f>
        <v/>
      </c>
      <c r="U61" s="22">
        <f>IF($S61="","",$S61-MAX($S$5:$S61))</f>
        <v/>
      </c>
    </row>
    <row r="62">
      <c r="A62" s="14" t="n"/>
      <c r="B62" s="15" t="n"/>
      <c r="C62" s="15" t="n"/>
      <c r="D62" s="15" t="n"/>
      <c r="E62" s="16" t="n"/>
      <c r="F62" s="16" t="n"/>
      <c r="G62" s="16" t="n"/>
      <c r="H62" s="17" t="n"/>
      <c r="I62" s="18" t="n"/>
      <c r="J62" s="18" t="n"/>
      <c r="K62" s="19" t="n"/>
      <c r="L62" s="20">
        <f>IF($B62="","",IFERROR(VLOOKUP($B62,'تنظیمات'!$A$4:$C$43,2,FALSE),1))</f>
        <v/>
      </c>
      <c r="M62" s="21">
        <f>IF($B62="","",IFERROR(VLOOKUP($B62,'تنظیمات'!$A$4:$C$43,3,FALSE),"USD"))</f>
        <v/>
      </c>
      <c r="N62" s="22">
        <f>IF(OR($E62="",$F62="",$H62="",$L62=""),"",ABS($E62-$F62)*$H62*IF($M62="BASE",$L62/$E62,$L62))</f>
        <v/>
      </c>
      <c r="O62" s="22">
        <f>IF($J62&lt;&gt;"",$J62,IF(OR($E62="",$G62="",$H62="",$L62=""),"",($G62-$E62)*IF($C62="فروش",-1,1)*$H62*IF($M62="BASE",$L62/$G62,$L62)))</f>
        <v/>
      </c>
      <c r="P62" s="22">
        <f>IF($O62="","",$O62-N($I62))</f>
        <v/>
      </c>
      <c r="Q62" s="23">
        <f>IF(OR($P62="",$N62="",$N62=0),"",$P62/$N62)</f>
        <v/>
      </c>
      <c r="R62" s="21">
        <f>IF($P62="","",IF($P62&gt;0,"برد",IF($P62&lt;0,"باخت","سر به سر")))</f>
        <v/>
      </c>
      <c r="S62" s="22">
        <f>IF($P62="","",SUM($P$5:$P62))</f>
        <v/>
      </c>
      <c r="T62" s="24">
        <f>IF($R62="باخت",N($T61)+1,0)</f>
        <v/>
      </c>
      <c r="U62" s="22">
        <f>IF($S62="","",$S62-MAX($S$5:$S62))</f>
        <v/>
      </c>
    </row>
    <row r="63">
      <c r="A63" s="14" t="n"/>
      <c r="B63" s="15" t="n"/>
      <c r="C63" s="15" t="n"/>
      <c r="D63" s="15" t="n"/>
      <c r="E63" s="16" t="n"/>
      <c r="F63" s="16" t="n"/>
      <c r="G63" s="16" t="n"/>
      <c r="H63" s="17" t="n"/>
      <c r="I63" s="18" t="n"/>
      <c r="J63" s="18" t="n"/>
      <c r="K63" s="19" t="n"/>
      <c r="L63" s="20">
        <f>IF($B63="","",IFERROR(VLOOKUP($B63,'تنظیمات'!$A$4:$C$43,2,FALSE),1))</f>
        <v/>
      </c>
      <c r="M63" s="21">
        <f>IF($B63="","",IFERROR(VLOOKUP($B63,'تنظیمات'!$A$4:$C$43,3,FALSE),"USD"))</f>
        <v/>
      </c>
      <c r="N63" s="22">
        <f>IF(OR($E63="",$F63="",$H63="",$L63=""),"",ABS($E63-$F63)*$H63*IF($M63="BASE",$L63/$E63,$L63))</f>
        <v/>
      </c>
      <c r="O63" s="22">
        <f>IF($J63&lt;&gt;"",$J63,IF(OR($E63="",$G63="",$H63="",$L63=""),"",($G63-$E63)*IF($C63="فروش",-1,1)*$H63*IF($M63="BASE",$L63/$G63,$L63)))</f>
        <v/>
      </c>
      <c r="P63" s="22">
        <f>IF($O63="","",$O63-N($I63))</f>
        <v/>
      </c>
      <c r="Q63" s="23">
        <f>IF(OR($P63="",$N63="",$N63=0),"",$P63/$N63)</f>
        <v/>
      </c>
      <c r="R63" s="21">
        <f>IF($P63="","",IF($P63&gt;0,"برد",IF($P63&lt;0,"باخت","سر به سر")))</f>
        <v/>
      </c>
      <c r="S63" s="22">
        <f>IF($P63="","",SUM($P$5:$P63))</f>
        <v/>
      </c>
      <c r="T63" s="24">
        <f>IF($R63="باخت",N($T62)+1,0)</f>
        <v/>
      </c>
      <c r="U63" s="22">
        <f>IF($S63="","",$S63-MAX($S$5:$S63))</f>
        <v/>
      </c>
    </row>
    <row r="64">
      <c r="A64" s="14" t="n"/>
      <c r="B64" s="15" t="n"/>
      <c r="C64" s="15" t="n"/>
      <c r="D64" s="15" t="n"/>
      <c r="E64" s="16" t="n"/>
      <c r="F64" s="16" t="n"/>
      <c r="G64" s="16" t="n"/>
      <c r="H64" s="17" t="n"/>
      <c r="I64" s="18" t="n"/>
      <c r="J64" s="18" t="n"/>
      <c r="K64" s="19" t="n"/>
      <c r="L64" s="20">
        <f>IF($B64="","",IFERROR(VLOOKUP($B64,'تنظیمات'!$A$4:$C$43,2,FALSE),1))</f>
        <v/>
      </c>
      <c r="M64" s="21">
        <f>IF($B64="","",IFERROR(VLOOKUP($B64,'تنظیمات'!$A$4:$C$43,3,FALSE),"USD"))</f>
        <v/>
      </c>
      <c r="N64" s="22">
        <f>IF(OR($E64="",$F64="",$H64="",$L64=""),"",ABS($E64-$F64)*$H64*IF($M64="BASE",$L64/$E64,$L64))</f>
        <v/>
      </c>
      <c r="O64" s="22">
        <f>IF($J64&lt;&gt;"",$J64,IF(OR($E64="",$G64="",$H64="",$L64=""),"",($G64-$E64)*IF($C64="فروش",-1,1)*$H64*IF($M64="BASE",$L64/$G64,$L64)))</f>
        <v/>
      </c>
      <c r="P64" s="22">
        <f>IF($O64="","",$O64-N($I64))</f>
        <v/>
      </c>
      <c r="Q64" s="23">
        <f>IF(OR($P64="",$N64="",$N64=0),"",$P64/$N64)</f>
        <v/>
      </c>
      <c r="R64" s="21">
        <f>IF($P64="","",IF($P64&gt;0,"برد",IF($P64&lt;0,"باخت","سر به سر")))</f>
        <v/>
      </c>
      <c r="S64" s="22">
        <f>IF($P64="","",SUM($P$5:$P64))</f>
        <v/>
      </c>
      <c r="T64" s="24">
        <f>IF($R64="باخت",N($T63)+1,0)</f>
        <v/>
      </c>
      <c r="U64" s="22">
        <f>IF($S64="","",$S64-MAX($S$5:$S64))</f>
        <v/>
      </c>
    </row>
    <row r="65">
      <c r="A65" s="14" t="n"/>
      <c r="B65" s="15" t="n"/>
      <c r="C65" s="15" t="n"/>
      <c r="D65" s="15" t="n"/>
      <c r="E65" s="16" t="n"/>
      <c r="F65" s="16" t="n"/>
      <c r="G65" s="16" t="n"/>
      <c r="H65" s="17" t="n"/>
      <c r="I65" s="18" t="n"/>
      <c r="J65" s="18" t="n"/>
      <c r="K65" s="19" t="n"/>
      <c r="L65" s="20">
        <f>IF($B65="","",IFERROR(VLOOKUP($B65,'تنظیمات'!$A$4:$C$43,2,FALSE),1))</f>
        <v/>
      </c>
      <c r="M65" s="21">
        <f>IF($B65="","",IFERROR(VLOOKUP($B65,'تنظیمات'!$A$4:$C$43,3,FALSE),"USD"))</f>
        <v/>
      </c>
      <c r="N65" s="22">
        <f>IF(OR($E65="",$F65="",$H65="",$L65=""),"",ABS($E65-$F65)*$H65*IF($M65="BASE",$L65/$E65,$L65))</f>
        <v/>
      </c>
      <c r="O65" s="22">
        <f>IF($J65&lt;&gt;"",$J65,IF(OR($E65="",$G65="",$H65="",$L65=""),"",($G65-$E65)*IF($C65="فروش",-1,1)*$H65*IF($M65="BASE",$L65/$G65,$L65)))</f>
        <v/>
      </c>
      <c r="P65" s="22">
        <f>IF($O65="","",$O65-N($I65))</f>
        <v/>
      </c>
      <c r="Q65" s="23">
        <f>IF(OR($P65="",$N65="",$N65=0),"",$P65/$N65)</f>
        <v/>
      </c>
      <c r="R65" s="21">
        <f>IF($P65="","",IF($P65&gt;0,"برد",IF($P65&lt;0,"باخت","سر به سر")))</f>
        <v/>
      </c>
      <c r="S65" s="22">
        <f>IF($P65="","",SUM($P$5:$P65))</f>
        <v/>
      </c>
      <c r="T65" s="24">
        <f>IF($R65="باخت",N($T64)+1,0)</f>
        <v/>
      </c>
      <c r="U65" s="22">
        <f>IF($S65="","",$S65-MAX($S$5:$S65))</f>
        <v/>
      </c>
    </row>
    <row r="66">
      <c r="A66" s="14" t="n"/>
      <c r="B66" s="15" t="n"/>
      <c r="C66" s="15" t="n"/>
      <c r="D66" s="15" t="n"/>
      <c r="E66" s="16" t="n"/>
      <c r="F66" s="16" t="n"/>
      <c r="G66" s="16" t="n"/>
      <c r="H66" s="17" t="n"/>
      <c r="I66" s="18" t="n"/>
      <c r="J66" s="18" t="n"/>
      <c r="K66" s="19" t="n"/>
      <c r="L66" s="20">
        <f>IF($B66="","",IFERROR(VLOOKUP($B66,'تنظیمات'!$A$4:$C$43,2,FALSE),1))</f>
        <v/>
      </c>
      <c r="M66" s="21">
        <f>IF($B66="","",IFERROR(VLOOKUP($B66,'تنظیمات'!$A$4:$C$43,3,FALSE),"USD"))</f>
        <v/>
      </c>
      <c r="N66" s="22">
        <f>IF(OR($E66="",$F66="",$H66="",$L66=""),"",ABS($E66-$F66)*$H66*IF($M66="BASE",$L66/$E66,$L66))</f>
        <v/>
      </c>
      <c r="O66" s="22">
        <f>IF($J66&lt;&gt;"",$J66,IF(OR($E66="",$G66="",$H66="",$L66=""),"",($G66-$E66)*IF($C66="فروش",-1,1)*$H66*IF($M66="BASE",$L66/$G66,$L66)))</f>
        <v/>
      </c>
      <c r="P66" s="22">
        <f>IF($O66="","",$O66-N($I66))</f>
        <v/>
      </c>
      <c r="Q66" s="23">
        <f>IF(OR($P66="",$N66="",$N66=0),"",$P66/$N66)</f>
        <v/>
      </c>
      <c r="R66" s="21">
        <f>IF($P66="","",IF($P66&gt;0,"برد",IF($P66&lt;0,"باخت","سر به سر")))</f>
        <v/>
      </c>
      <c r="S66" s="22">
        <f>IF($P66="","",SUM($P$5:$P66))</f>
        <v/>
      </c>
      <c r="T66" s="24">
        <f>IF($R66="باخت",N($T65)+1,0)</f>
        <v/>
      </c>
      <c r="U66" s="22">
        <f>IF($S66="","",$S66-MAX($S$5:$S66))</f>
        <v/>
      </c>
    </row>
    <row r="67">
      <c r="A67" s="14" t="n"/>
      <c r="B67" s="15" t="n"/>
      <c r="C67" s="15" t="n"/>
      <c r="D67" s="15" t="n"/>
      <c r="E67" s="16" t="n"/>
      <c r="F67" s="16" t="n"/>
      <c r="G67" s="16" t="n"/>
      <c r="H67" s="17" t="n"/>
      <c r="I67" s="18" t="n"/>
      <c r="J67" s="18" t="n"/>
      <c r="K67" s="19" t="n"/>
      <c r="L67" s="20">
        <f>IF($B67="","",IFERROR(VLOOKUP($B67,'تنظیمات'!$A$4:$C$43,2,FALSE),1))</f>
        <v/>
      </c>
      <c r="M67" s="21">
        <f>IF($B67="","",IFERROR(VLOOKUP($B67,'تنظیمات'!$A$4:$C$43,3,FALSE),"USD"))</f>
        <v/>
      </c>
      <c r="N67" s="22">
        <f>IF(OR($E67="",$F67="",$H67="",$L67=""),"",ABS($E67-$F67)*$H67*IF($M67="BASE",$L67/$E67,$L67))</f>
        <v/>
      </c>
      <c r="O67" s="22">
        <f>IF($J67&lt;&gt;"",$J67,IF(OR($E67="",$G67="",$H67="",$L67=""),"",($G67-$E67)*IF($C67="فروش",-1,1)*$H67*IF($M67="BASE",$L67/$G67,$L67)))</f>
        <v/>
      </c>
      <c r="P67" s="22">
        <f>IF($O67="","",$O67-N($I67))</f>
        <v/>
      </c>
      <c r="Q67" s="23">
        <f>IF(OR($P67="",$N67="",$N67=0),"",$P67/$N67)</f>
        <v/>
      </c>
      <c r="R67" s="21">
        <f>IF($P67="","",IF($P67&gt;0,"برد",IF($P67&lt;0,"باخت","سر به سر")))</f>
        <v/>
      </c>
      <c r="S67" s="22">
        <f>IF($P67="","",SUM($P$5:$P67))</f>
        <v/>
      </c>
      <c r="T67" s="24">
        <f>IF($R67="باخت",N($T66)+1,0)</f>
        <v/>
      </c>
      <c r="U67" s="22">
        <f>IF($S67="","",$S67-MAX($S$5:$S67))</f>
        <v/>
      </c>
    </row>
    <row r="68">
      <c r="A68" s="14" t="n"/>
      <c r="B68" s="15" t="n"/>
      <c r="C68" s="15" t="n"/>
      <c r="D68" s="15" t="n"/>
      <c r="E68" s="16" t="n"/>
      <c r="F68" s="16" t="n"/>
      <c r="G68" s="16" t="n"/>
      <c r="H68" s="17" t="n"/>
      <c r="I68" s="18" t="n"/>
      <c r="J68" s="18" t="n"/>
      <c r="K68" s="19" t="n"/>
      <c r="L68" s="20">
        <f>IF($B68="","",IFERROR(VLOOKUP($B68,'تنظیمات'!$A$4:$C$43,2,FALSE),1))</f>
        <v/>
      </c>
      <c r="M68" s="21">
        <f>IF($B68="","",IFERROR(VLOOKUP($B68,'تنظیمات'!$A$4:$C$43,3,FALSE),"USD"))</f>
        <v/>
      </c>
      <c r="N68" s="22">
        <f>IF(OR($E68="",$F68="",$H68="",$L68=""),"",ABS($E68-$F68)*$H68*IF($M68="BASE",$L68/$E68,$L68))</f>
        <v/>
      </c>
      <c r="O68" s="22">
        <f>IF($J68&lt;&gt;"",$J68,IF(OR($E68="",$G68="",$H68="",$L68=""),"",($G68-$E68)*IF($C68="فروش",-1,1)*$H68*IF($M68="BASE",$L68/$G68,$L68)))</f>
        <v/>
      </c>
      <c r="P68" s="22">
        <f>IF($O68="","",$O68-N($I68))</f>
        <v/>
      </c>
      <c r="Q68" s="23">
        <f>IF(OR($P68="",$N68="",$N68=0),"",$P68/$N68)</f>
        <v/>
      </c>
      <c r="R68" s="21">
        <f>IF($P68="","",IF($P68&gt;0,"برد",IF($P68&lt;0,"باخت","سر به سر")))</f>
        <v/>
      </c>
      <c r="S68" s="22">
        <f>IF($P68="","",SUM($P$5:$P68))</f>
        <v/>
      </c>
      <c r="T68" s="24">
        <f>IF($R68="باخت",N($T67)+1,0)</f>
        <v/>
      </c>
      <c r="U68" s="22">
        <f>IF($S68="","",$S68-MAX($S$5:$S68))</f>
        <v/>
      </c>
    </row>
    <row r="69">
      <c r="A69" s="14" t="n"/>
      <c r="B69" s="15" t="n"/>
      <c r="C69" s="15" t="n"/>
      <c r="D69" s="15" t="n"/>
      <c r="E69" s="16" t="n"/>
      <c r="F69" s="16" t="n"/>
      <c r="G69" s="16" t="n"/>
      <c r="H69" s="17" t="n"/>
      <c r="I69" s="18" t="n"/>
      <c r="J69" s="18" t="n"/>
      <c r="K69" s="19" t="n"/>
      <c r="L69" s="20">
        <f>IF($B69="","",IFERROR(VLOOKUP($B69,'تنظیمات'!$A$4:$C$43,2,FALSE),1))</f>
        <v/>
      </c>
      <c r="M69" s="21">
        <f>IF($B69="","",IFERROR(VLOOKUP($B69,'تنظیمات'!$A$4:$C$43,3,FALSE),"USD"))</f>
        <v/>
      </c>
      <c r="N69" s="22">
        <f>IF(OR($E69="",$F69="",$H69="",$L69=""),"",ABS($E69-$F69)*$H69*IF($M69="BASE",$L69/$E69,$L69))</f>
        <v/>
      </c>
      <c r="O69" s="22">
        <f>IF($J69&lt;&gt;"",$J69,IF(OR($E69="",$G69="",$H69="",$L69=""),"",($G69-$E69)*IF($C69="فروش",-1,1)*$H69*IF($M69="BASE",$L69/$G69,$L69)))</f>
        <v/>
      </c>
      <c r="P69" s="22">
        <f>IF($O69="","",$O69-N($I69))</f>
        <v/>
      </c>
      <c r="Q69" s="23">
        <f>IF(OR($P69="",$N69="",$N69=0),"",$P69/$N69)</f>
        <v/>
      </c>
      <c r="R69" s="21">
        <f>IF($P69="","",IF($P69&gt;0,"برد",IF($P69&lt;0,"باخت","سر به سر")))</f>
        <v/>
      </c>
      <c r="S69" s="22">
        <f>IF($P69="","",SUM($P$5:$P69))</f>
        <v/>
      </c>
      <c r="T69" s="24">
        <f>IF($R69="باخت",N($T68)+1,0)</f>
        <v/>
      </c>
      <c r="U69" s="22">
        <f>IF($S69="","",$S69-MAX($S$5:$S69))</f>
        <v/>
      </c>
    </row>
    <row r="70">
      <c r="A70" s="14" t="n"/>
      <c r="B70" s="15" t="n"/>
      <c r="C70" s="15" t="n"/>
      <c r="D70" s="15" t="n"/>
      <c r="E70" s="16" t="n"/>
      <c r="F70" s="16" t="n"/>
      <c r="G70" s="16" t="n"/>
      <c r="H70" s="17" t="n"/>
      <c r="I70" s="18" t="n"/>
      <c r="J70" s="18" t="n"/>
      <c r="K70" s="19" t="n"/>
      <c r="L70" s="20">
        <f>IF($B70="","",IFERROR(VLOOKUP($B70,'تنظیمات'!$A$4:$C$43,2,FALSE),1))</f>
        <v/>
      </c>
      <c r="M70" s="21">
        <f>IF($B70="","",IFERROR(VLOOKUP($B70,'تنظیمات'!$A$4:$C$43,3,FALSE),"USD"))</f>
        <v/>
      </c>
      <c r="N70" s="22">
        <f>IF(OR($E70="",$F70="",$H70="",$L70=""),"",ABS($E70-$F70)*$H70*IF($M70="BASE",$L70/$E70,$L70))</f>
        <v/>
      </c>
      <c r="O70" s="22">
        <f>IF($J70&lt;&gt;"",$J70,IF(OR($E70="",$G70="",$H70="",$L70=""),"",($G70-$E70)*IF($C70="فروش",-1,1)*$H70*IF($M70="BASE",$L70/$G70,$L70)))</f>
        <v/>
      </c>
      <c r="P70" s="22">
        <f>IF($O70="","",$O70-N($I70))</f>
        <v/>
      </c>
      <c r="Q70" s="23">
        <f>IF(OR($P70="",$N70="",$N70=0),"",$P70/$N70)</f>
        <v/>
      </c>
      <c r="R70" s="21">
        <f>IF($P70="","",IF($P70&gt;0,"برد",IF($P70&lt;0,"باخت","سر به سر")))</f>
        <v/>
      </c>
      <c r="S70" s="22">
        <f>IF($P70="","",SUM($P$5:$P70))</f>
        <v/>
      </c>
      <c r="T70" s="24">
        <f>IF($R70="باخت",N($T69)+1,0)</f>
        <v/>
      </c>
      <c r="U70" s="22">
        <f>IF($S70="","",$S70-MAX($S$5:$S70))</f>
        <v/>
      </c>
    </row>
    <row r="71">
      <c r="A71" s="14" t="n"/>
      <c r="B71" s="15" t="n"/>
      <c r="C71" s="15" t="n"/>
      <c r="D71" s="15" t="n"/>
      <c r="E71" s="16" t="n"/>
      <c r="F71" s="16" t="n"/>
      <c r="G71" s="16" t="n"/>
      <c r="H71" s="17" t="n"/>
      <c r="I71" s="18" t="n"/>
      <c r="J71" s="18" t="n"/>
      <c r="K71" s="19" t="n"/>
      <c r="L71" s="20">
        <f>IF($B71="","",IFERROR(VLOOKUP($B71,'تنظیمات'!$A$4:$C$43,2,FALSE),1))</f>
        <v/>
      </c>
      <c r="M71" s="21">
        <f>IF($B71="","",IFERROR(VLOOKUP($B71,'تنظیمات'!$A$4:$C$43,3,FALSE),"USD"))</f>
        <v/>
      </c>
      <c r="N71" s="22">
        <f>IF(OR($E71="",$F71="",$H71="",$L71=""),"",ABS($E71-$F71)*$H71*IF($M71="BASE",$L71/$E71,$L71))</f>
        <v/>
      </c>
      <c r="O71" s="22">
        <f>IF($J71&lt;&gt;"",$J71,IF(OR($E71="",$G71="",$H71="",$L71=""),"",($G71-$E71)*IF($C71="فروش",-1,1)*$H71*IF($M71="BASE",$L71/$G71,$L71)))</f>
        <v/>
      </c>
      <c r="P71" s="22">
        <f>IF($O71="","",$O71-N($I71))</f>
        <v/>
      </c>
      <c r="Q71" s="23">
        <f>IF(OR($P71="",$N71="",$N71=0),"",$P71/$N71)</f>
        <v/>
      </c>
      <c r="R71" s="21">
        <f>IF($P71="","",IF($P71&gt;0,"برد",IF($P71&lt;0,"باخت","سر به سر")))</f>
        <v/>
      </c>
      <c r="S71" s="22">
        <f>IF($P71="","",SUM($P$5:$P71))</f>
        <v/>
      </c>
      <c r="T71" s="24">
        <f>IF($R71="باخت",N($T70)+1,0)</f>
        <v/>
      </c>
      <c r="U71" s="22">
        <f>IF($S71="","",$S71-MAX($S$5:$S71))</f>
        <v/>
      </c>
    </row>
    <row r="72">
      <c r="A72" s="14" t="n"/>
      <c r="B72" s="15" t="n"/>
      <c r="C72" s="15" t="n"/>
      <c r="D72" s="15" t="n"/>
      <c r="E72" s="16" t="n"/>
      <c r="F72" s="16" t="n"/>
      <c r="G72" s="16" t="n"/>
      <c r="H72" s="17" t="n"/>
      <c r="I72" s="18" t="n"/>
      <c r="J72" s="18" t="n"/>
      <c r="K72" s="19" t="n"/>
      <c r="L72" s="20">
        <f>IF($B72="","",IFERROR(VLOOKUP($B72,'تنظیمات'!$A$4:$C$43,2,FALSE),1))</f>
        <v/>
      </c>
      <c r="M72" s="21">
        <f>IF($B72="","",IFERROR(VLOOKUP($B72,'تنظیمات'!$A$4:$C$43,3,FALSE),"USD"))</f>
        <v/>
      </c>
      <c r="N72" s="22">
        <f>IF(OR($E72="",$F72="",$H72="",$L72=""),"",ABS($E72-$F72)*$H72*IF($M72="BASE",$L72/$E72,$L72))</f>
        <v/>
      </c>
      <c r="O72" s="22">
        <f>IF($J72&lt;&gt;"",$J72,IF(OR($E72="",$G72="",$H72="",$L72=""),"",($G72-$E72)*IF($C72="فروش",-1,1)*$H72*IF($M72="BASE",$L72/$G72,$L72)))</f>
        <v/>
      </c>
      <c r="P72" s="22">
        <f>IF($O72="","",$O72-N($I72))</f>
        <v/>
      </c>
      <c r="Q72" s="23">
        <f>IF(OR($P72="",$N72="",$N72=0),"",$P72/$N72)</f>
        <v/>
      </c>
      <c r="R72" s="21">
        <f>IF($P72="","",IF($P72&gt;0,"برد",IF($P72&lt;0,"باخت","سر به سر")))</f>
        <v/>
      </c>
      <c r="S72" s="22">
        <f>IF($P72="","",SUM($P$5:$P72))</f>
        <v/>
      </c>
      <c r="T72" s="24">
        <f>IF($R72="باخت",N($T71)+1,0)</f>
        <v/>
      </c>
      <c r="U72" s="22">
        <f>IF($S72="","",$S72-MAX($S$5:$S72))</f>
        <v/>
      </c>
    </row>
    <row r="73">
      <c r="A73" s="14" t="n"/>
      <c r="B73" s="15" t="n"/>
      <c r="C73" s="15" t="n"/>
      <c r="D73" s="15" t="n"/>
      <c r="E73" s="16" t="n"/>
      <c r="F73" s="16" t="n"/>
      <c r="G73" s="16" t="n"/>
      <c r="H73" s="17" t="n"/>
      <c r="I73" s="18" t="n"/>
      <c r="J73" s="18" t="n"/>
      <c r="K73" s="19" t="n"/>
      <c r="L73" s="20">
        <f>IF($B73="","",IFERROR(VLOOKUP($B73,'تنظیمات'!$A$4:$C$43,2,FALSE),1))</f>
        <v/>
      </c>
      <c r="M73" s="21">
        <f>IF($B73="","",IFERROR(VLOOKUP($B73,'تنظیمات'!$A$4:$C$43,3,FALSE),"USD"))</f>
        <v/>
      </c>
      <c r="N73" s="22">
        <f>IF(OR($E73="",$F73="",$H73="",$L73=""),"",ABS($E73-$F73)*$H73*IF($M73="BASE",$L73/$E73,$L73))</f>
        <v/>
      </c>
      <c r="O73" s="22">
        <f>IF($J73&lt;&gt;"",$J73,IF(OR($E73="",$G73="",$H73="",$L73=""),"",($G73-$E73)*IF($C73="فروش",-1,1)*$H73*IF($M73="BASE",$L73/$G73,$L73)))</f>
        <v/>
      </c>
      <c r="P73" s="22">
        <f>IF($O73="","",$O73-N($I73))</f>
        <v/>
      </c>
      <c r="Q73" s="23">
        <f>IF(OR($P73="",$N73="",$N73=0),"",$P73/$N73)</f>
        <v/>
      </c>
      <c r="R73" s="21">
        <f>IF($P73="","",IF($P73&gt;0,"برد",IF($P73&lt;0,"باخت","سر به سر")))</f>
        <v/>
      </c>
      <c r="S73" s="22">
        <f>IF($P73="","",SUM($P$5:$P73))</f>
        <v/>
      </c>
      <c r="T73" s="24">
        <f>IF($R73="باخت",N($T72)+1,0)</f>
        <v/>
      </c>
      <c r="U73" s="22">
        <f>IF($S73="","",$S73-MAX($S$5:$S73))</f>
        <v/>
      </c>
    </row>
    <row r="74">
      <c r="A74" s="14" t="n"/>
      <c r="B74" s="15" t="n"/>
      <c r="C74" s="15" t="n"/>
      <c r="D74" s="15" t="n"/>
      <c r="E74" s="16" t="n"/>
      <c r="F74" s="16" t="n"/>
      <c r="G74" s="16" t="n"/>
      <c r="H74" s="17" t="n"/>
      <c r="I74" s="18" t="n"/>
      <c r="J74" s="18" t="n"/>
      <c r="K74" s="19" t="n"/>
      <c r="L74" s="20">
        <f>IF($B74="","",IFERROR(VLOOKUP($B74,'تنظیمات'!$A$4:$C$43,2,FALSE),1))</f>
        <v/>
      </c>
      <c r="M74" s="21">
        <f>IF($B74="","",IFERROR(VLOOKUP($B74,'تنظیمات'!$A$4:$C$43,3,FALSE),"USD"))</f>
        <v/>
      </c>
      <c r="N74" s="22">
        <f>IF(OR($E74="",$F74="",$H74="",$L74=""),"",ABS($E74-$F74)*$H74*IF($M74="BASE",$L74/$E74,$L74))</f>
        <v/>
      </c>
      <c r="O74" s="22">
        <f>IF($J74&lt;&gt;"",$J74,IF(OR($E74="",$G74="",$H74="",$L74=""),"",($G74-$E74)*IF($C74="فروش",-1,1)*$H74*IF($M74="BASE",$L74/$G74,$L74)))</f>
        <v/>
      </c>
      <c r="P74" s="22">
        <f>IF($O74="","",$O74-N($I74))</f>
        <v/>
      </c>
      <c r="Q74" s="23">
        <f>IF(OR($P74="",$N74="",$N74=0),"",$P74/$N74)</f>
        <v/>
      </c>
      <c r="R74" s="21">
        <f>IF($P74="","",IF($P74&gt;0,"برد",IF($P74&lt;0,"باخت","سر به سر")))</f>
        <v/>
      </c>
      <c r="S74" s="22">
        <f>IF($P74="","",SUM($P$5:$P74))</f>
        <v/>
      </c>
      <c r="T74" s="24">
        <f>IF($R74="باخت",N($T73)+1,0)</f>
        <v/>
      </c>
      <c r="U74" s="22">
        <f>IF($S74="","",$S74-MAX($S$5:$S74))</f>
        <v/>
      </c>
    </row>
    <row r="75">
      <c r="A75" s="14" t="n"/>
      <c r="B75" s="15" t="n"/>
      <c r="C75" s="15" t="n"/>
      <c r="D75" s="15" t="n"/>
      <c r="E75" s="16" t="n"/>
      <c r="F75" s="16" t="n"/>
      <c r="G75" s="16" t="n"/>
      <c r="H75" s="17" t="n"/>
      <c r="I75" s="18" t="n"/>
      <c r="J75" s="18" t="n"/>
      <c r="K75" s="19" t="n"/>
      <c r="L75" s="20">
        <f>IF($B75="","",IFERROR(VLOOKUP($B75,'تنظیمات'!$A$4:$C$43,2,FALSE),1))</f>
        <v/>
      </c>
      <c r="M75" s="21">
        <f>IF($B75="","",IFERROR(VLOOKUP($B75,'تنظیمات'!$A$4:$C$43,3,FALSE),"USD"))</f>
        <v/>
      </c>
      <c r="N75" s="22">
        <f>IF(OR($E75="",$F75="",$H75="",$L75=""),"",ABS($E75-$F75)*$H75*IF($M75="BASE",$L75/$E75,$L75))</f>
        <v/>
      </c>
      <c r="O75" s="22">
        <f>IF($J75&lt;&gt;"",$J75,IF(OR($E75="",$G75="",$H75="",$L75=""),"",($G75-$E75)*IF($C75="فروش",-1,1)*$H75*IF($M75="BASE",$L75/$G75,$L75)))</f>
        <v/>
      </c>
      <c r="P75" s="22">
        <f>IF($O75="","",$O75-N($I75))</f>
        <v/>
      </c>
      <c r="Q75" s="23">
        <f>IF(OR($P75="",$N75="",$N75=0),"",$P75/$N75)</f>
        <v/>
      </c>
      <c r="R75" s="21">
        <f>IF($P75="","",IF($P75&gt;0,"برد",IF($P75&lt;0,"باخت","سر به سر")))</f>
        <v/>
      </c>
      <c r="S75" s="22">
        <f>IF($P75="","",SUM($P$5:$P75))</f>
        <v/>
      </c>
      <c r="T75" s="24">
        <f>IF($R75="باخت",N($T74)+1,0)</f>
        <v/>
      </c>
      <c r="U75" s="22">
        <f>IF($S75="","",$S75-MAX($S$5:$S75))</f>
        <v/>
      </c>
    </row>
    <row r="76">
      <c r="A76" s="14" t="n"/>
      <c r="B76" s="15" t="n"/>
      <c r="C76" s="15" t="n"/>
      <c r="D76" s="15" t="n"/>
      <c r="E76" s="16" t="n"/>
      <c r="F76" s="16" t="n"/>
      <c r="G76" s="16" t="n"/>
      <c r="H76" s="17" t="n"/>
      <c r="I76" s="18" t="n"/>
      <c r="J76" s="18" t="n"/>
      <c r="K76" s="19" t="n"/>
      <c r="L76" s="20">
        <f>IF($B76="","",IFERROR(VLOOKUP($B76,'تنظیمات'!$A$4:$C$43,2,FALSE),1))</f>
        <v/>
      </c>
      <c r="M76" s="21">
        <f>IF($B76="","",IFERROR(VLOOKUP($B76,'تنظیمات'!$A$4:$C$43,3,FALSE),"USD"))</f>
        <v/>
      </c>
      <c r="N76" s="22">
        <f>IF(OR($E76="",$F76="",$H76="",$L76=""),"",ABS($E76-$F76)*$H76*IF($M76="BASE",$L76/$E76,$L76))</f>
        <v/>
      </c>
      <c r="O76" s="22">
        <f>IF($J76&lt;&gt;"",$J76,IF(OR($E76="",$G76="",$H76="",$L76=""),"",($G76-$E76)*IF($C76="فروش",-1,1)*$H76*IF($M76="BASE",$L76/$G76,$L76)))</f>
        <v/>
      </c>
      <c r="P76" s="22">
        <f>IF($O76="","",$O76-N($I76))</f>
        <v/>
      </c>
      <c r="Q76" s="23">
        <f>IF(OR($P76="",$N76="",$N76=0),"",$P76/$N76)</f>
        <v/>
      </c>
      <c r="R76" s="21">
        <f>IF($P76="","",IF($P76&gt;0,"برد",IF($P76&lt;0,"باخت","سر به سر")))</f>
        <v/>
      </c>
      <c r="S76" s="22">
        <f>IF($P76="","",SUM($P$5:$P76))</f>
        <v/>
      </c>
      <c r="T76" s="24">
        <f>IF($R76="باخت",N($T75)+1,0)</f>
        <v/>
      </c>
      <c r="U76" s="22">
        <f>IF($S76="","",$S76-MAX($S$5:$S76))</f>
        <v/>
      </c>
    </row>
    <row r="77">
      <c r="A77" s="14" t="n"/>
      <c r="B77" s="15" t="n"/>
      <c r="C77" s="15" t="n"/>
      <c r="D77" s="15" t="n"/>
      <c r="E77" s="16" t="n"/>
      <c r="F77" s="16" t="n"/>
      <c r="G77" s="16" t="n"/>
      <c r="H77" s="17" t="n"/>
      <c r="I77" s="18" t="n"/>
      <c r="J77" s="18" t="n"/>
      <c r="K77" s="19" t="n"/>
      <c r="L77" s="20">
        <f>IF($B77="","",IFERROR(VLOOKUP($B77,'تنظیمات'!$A$4:$C$43,2,FALSE),1))</f>
        <v/>
      </c>
      <c r="M77" s="21">
        <f>IF($B77="","",IFERROR(VLOOKUP($B77,'تنظیمات'!$A$4:$C$43,3,FALSE),"USD"))</f>
        <v/>
      </c>
      <c r="N77" s="22">
        <f>IF(OR($E77="",$F77="",$H77="",$L77=""),"",ABS($E77-$F77)*$H77*IF($M77="BASE",$L77/$E77,$L77))</f>
        <v/>
      </c>
      <c r="O77" s="22">
        <f>IF($J77&lt;&gt;"",$J77,IF(OR($E77="",$G77="",$H77="",$L77=""),"",($G77-$E77)*IF($C77="فروش",-1,1)*$H77*IF($M77="BASE",$L77/$G77,$L77)))</f>
        <v/>
      </c>
      <c r="P77" s="22">
        <f>IF($O77="","",$O77-N($I77))</f>
        <v/>
      </c>
      <c r="Q77" s="23">
        <f>IF(OR($P77="",$N77="",$N77=0),"",$P77/$N77)</f>
        <v/>
      </c>
      <c r="R77" s="21">
        <f>IF($P77="","",IF($P77&gt;0,"برد",IF($P77&lt;0,"باخت","سر به سر")))</f>
        <v/>
      </c>
      <c r="S77" s="22">
        <f>IF($P77="","",SUM($P$5:$P77))</f>
        <v/>
      </c>
      <c r="T77" s="24">
        <f>IF($R77="باخت",N($T76)+1,0)</f>
        <v/>
      </c>
      <c r="U77" s="22">
        <f>IF($S77="","",$S77-MAX($S$5:$S77))</f>
        <v/>
      </c>
    </row>
    <row r="78">
      <c r="A78" s="14" t="n"/>
      <c r="B78" s="15" t="n"/>
      <c r="C78" s="15" t="n"/>
      <c r="D78" s="15" t="n"/>
      <c r="E78" s="16" t="n"/>
      <c r="F78" s="16" t="n"/>
      <c r="G78" s="16" t="n"/>
      <c r="H78" s="17" t="n"/>
      <c r="I78" s="18" t="n"/>
      <c r="J78" s="18" t="n"/>
      <c r="K78" s="19" t="n"/>
      <c r="L78" s="20">
        <f>IF($B78="","",IFERROR(VLOOKUP($B78,'تنظیمات'!$A$4:$C$43,2,FALSE),1))</f>
        <v/>
      </c>
      <c r="M78" s="21">
        <f>IF($B78="","",IFERROR(VLOOKUP($B78,'تنظیمات'!$A$4:$C$43,3,FALSE),"USD"))</f>
        <v/>
      </c>
      <c r="N78" s="22">
        <f>IF(OR($E78="",$F78="",$H78="",$L78=""),"",ABS($E78-$F78)*$H78*IF($M78="BASE",$L78/$E78,$L78))</f>
        <v/>
      </c>
      <c r="O78" s="22">
        <f>IF($J78&lt;&gt;"",$J78,IF(OR($E78="",$G78="",$H78="",$L78=""),"",($G78-$E78)*IF($C78="فروش",-1,1)*$H78*IF($M78="BASE",$L78/$G78,$L78)))</f>
        <v/>
      </c>
      <c r="P78" s="22">
        <f>IF($O78="","",$O78-N($I78))</f>
        <v/>
      </c>
      <c r="Q78" s="23">
        <f>IF(OR($P78="",$N78="",$N78=0),"",$P78/$N78)</f>
        <v/>
      </c>
      <c r="R78" s="21">
        <f>IF($P78="","",IF($P78&gt;0,"برد",IF($P78&lt;0,"باخت","سر به سر")))</f>
        <v/>
      </c>
      <c r="S78" s="22">
        <f>IF($P78="","",SUM($P$5:$P78))</f>
        <v/>
      </c>
      <c r="T78" s="24">
        <f>IF($R78="باخت",N($T77)+1,0)</f>
        <v/>
      </c>
      <c r="U78" s="22">
        <f>IF($S78="","",$S78-MAX($S$5:$S78))</f>
        <v/>
      </c>
    </row>
    <row r="79">
      <c r="A79" s="14" t="n"/>
      <c r="B79" s="15" t="n"/>
      <c r="C79" s="15" t="n"/>
      <c r="D79" s="15" t="n"/>
      <c r="E79" s="16" t="n"/>
      <c r="F79" s="16" t="n"/>
      <c r="G79" s="16" t="n"/>
      <c r="H79" s="17" t="n"/>
      <c r="I79" s="18" t="n"/>
      <c r="J79" s="18" t="n"/>
      <c r="K79" s="19" t="n"/>
      <c r="L79" s="20">
        <f>IF($B79="","",IFERROR(VLOOKUP($B79,'تنظیمات'!$A$4:$C$43,2,FALSE),1))</f>
        <v/>
      </c>
      <c r="M79" s="21">
        <f>IF($B79="","",IFERROR(VLOOKUP($B79,'تنظیمات'!$A$4:$C$43,3,FALSE),"USD"))</f>
        <v/>
      </c>
      <c r="N79" s="22">
        <f>IF(OR($E79="",$F79="",$H79="",$L79=""),"",ABS($E79-$F79)*$H79*IF($M79="BASE",$L79/$E79,$L79))</f>
        <v/>
      </c>
      <c r="O79" s="22">
        <f>IF($J79&lt;&gt;"",$J79,IF(OR($E79="",$G79="",$H79="",$L79=""),"",($G79-$E79)*IF($C79="فروش",-1,1)*$H79*IF($M79="BASE",$L79/$G79,$L79)))</f>
        <v/>
      </c>
      <c r="P79" s="22">
        <f>IF($O79="","",$O79-N($I79))</f>
        <v/>
      </c>
      <c r="Q79" s="23">
        <f>IF(OR($P79="",$N79="",$N79=0),"",$P79/$N79)</f>
        <v/>
      </c>
      <c r="R79" s="21">
        <f>IF($P79="","",IF($P79&gt;0,"برد",IF($P79&lt;0,"باخت","سر به سر")))</f>
        <v/>
      </c>
      <c r="S79" s="22">
        <f>IF($P79="","",SUM($P$5:$P79))</f>
        <v/>
      </c>
      <c r="T79" s="24">
        <f>IF($R79="باخت",N($T78)+1,0)</f>
        <v/>
      </c>
      <c r="U79" s="22">
        <f>IF($S79="","",$S79-MAX($S$5:$S79))</f>
        <v/>
      </c>
    </row>
    <row r="80">
      <c r="A80" s="14" t="n"/>
      <c r="B80" s="15" t="n"/>
      <c r="C80" s="15" t="n"/>
      <c r="D80" s="15" t="n"/>
      <c r="E80" s="16" t="n"/>
      <c r="F80" s="16" t="n"/>
      <c r="G80" s="16" t="n"/>
      <c r="H80" s="17" t="n"/>
      <c r="I80" s="18" t="n"/>
      <c r="J80" s="18" t="n"/>
      <c r="K80" s="19" t="n"/>
      <c r="L80" s="20">
        <f>IF($B80="","",IFERROR(VLOOKUP($B80,'تنظیمات'!$A$4:$C$43,2,FALSE),1))</f>
        <v/>
      </c>
      <c r="M80" s="21">
        <f>IF($B80="","",IFERROR(VLOOKUP($B80,'تنظیمات'!$A$4:$C$43,3,FALSE),"USD"))</f>
        <v/>
      </c>
      <c r="N80" s="22">
        <f>IF(OR($E80="",$F80="",$H80="",$L80=""),"",ABS($E80-$F80)*$H80*IF($M80="BASE",$L80/$E80,$L80))</f>
        <v/>
      </c>
      <c r="O80" s="22">
        <f>IF($J80&lt;&gt;"",$J80,IF(OR($E80="",$G80="",$H80="",$L80=""),"",($G80-$E80)*IF($C80="فروش",-1,1)*$H80*IF($M80="BASE",$L80/$G80,$L80)))</f>
        <v/>
      </c>
      <c r="P80" s="22">
        <f>IF($O80="","",$O80-N($I80))</f>
        <v/>
      </c>
      <c r="Q80" s="23">
        <f>IF(OR($P80="",$N80="",$N80=0),"",$P80/$N80)</f>
        <v/>
      </c>
      <c r="R80" s="21">
        <f>IF($P80="","",IF($P80&gt;0,"برد",IF($P80&lt;0,"باخت","سر به سر")))</f>
        <v/>
      </c>
      <c r="S80" s="22">
        <f>IF($P80="","",SUM($P$5:$P80))</f>
        <v/>
      </c>
      <c r="T80" s="24">
        <f>IF($R80="باخت",N($T79)+1,0)</f>
        <v/>
      </c>
      <c r="U80" s="22">
        <f>IF($S80="","",$S80-MAX($S$5:$S80))</f>
        <v/>
      </c>
    </row>
    <row r="81">
      <c r="A81" s="14" t="n"/>
      <c r="B81" s="15" t="n"/>
      <c r="C81" s="15" t="n"/>
      <c r="D81" s="15" t="n"/>
      <c r="E81" s="16" t="n"/>
      <c r="F81" s="16" t="n"/>
      <c r="G81" s="16" t="n"/>
      <c r="H81" s="17" t="n"/>
      <c r="I81" s="18" t="n"/>
      <c r="J81" s="18" t="n"/>
      <c r="K81" s="19" t="n"/>
      <c r="L81" s="20">
        <f>IF($B81="","",IFERROR(VLOOKUP($B81,'تنظیمات'!$A$4:$C$43,2,FALSE),1))</f>
        <v/>
      </c>
      <c r="M81" s="21">
        <f>IF($B81="","",IFERROR(VLOOKUP($B81,'تنظیمات'!$A$4:$C$43,3,FALSE),"USD"))</f>
        <v/>
      </c>
      <c r="N81" s="22">
        <f>IF(OR($E81="",$F81="",$H81="",$L81=""),"",ABS($E81-$F81)*$H81*IF($M81="BASE",$L81/$E81,$L81))</f>
        <v/>
      </c>
      <c r="O81" s="22">
        <f>IF($J81&lt;&gt;"",$J81,IF(OR($E81="",$G81="",$H81="",$L81=""),"",($G81-$E81)*IF($C81="فروش",-1,1)*$H81*IF($M81="BASE",$L81/$G81,$L81)))</f>
        <v/>
      </c>
      <c r="P81" s="22">
        <f>IF($O81="","",$O81-N($I81))</f>
        <v/>
      </c>
      <c r="Q81" s="23">
        <f>IF(OR($P81="",$N81="",$N81=0),"",$P81/$N81)</f>
        <v/>
      </c>
      <c r="R81" s="21">
        <f>IF($P81="","",IF($P81&gt;0,"برد",IF($P81&lt;0,"باخت","سر به سر")))</f>
        <v/>
      </c>
      <c r="S81" s="22">
        <f>IF($P81="","",SUM($P$5:$P81))</f>
        <v/>
      </c>
      <c r="T81" s="24">
        <f>IF($R81="باخت",N($T80)+1,0)</f>
        <v/>
      </c>
      <c r="U81" s="22">
        <f>IF($S81="","",$S81-MAX($S$5:$S81))</f>
        <v/>
      </c>
    </row>
    <row r="82">
      <c r="A82" s="14" t="n"/>
      <c r="B82" s="15" t="n"/>
      <c r="C82" s="15" t="n"/>
      <c r="D82" s="15" t="n"/>
      <c r="E82" s="16" t="n"/>
      <c r="F82" s="16" t="n"/>
      <c r="G82" s="16" t="n"/>
      <c r="H82" s="17" t="n"/>
      <c r="I82" s="18" t="n"/>
      <c r="J82" s="18" t="n"/>
      <c r="K82" s="19" t="n"/>
      <c r="L82" s="20">
        <f>IF($B82="","",IFERROR(VLOOKUP($B82,'تنظیمات'!$A$4:$C$43,2,FALSE),1))</f>
        <v/>
      </c>
      <c r="M82" s="21">
        <f>IF($B82="","",IFERROR(VLOOKUP($B82,'تنظیمات'!$A$4:$C$43,3,FALSE),"USD"))</f>
        <v/>
      </c>
      <c r="N82" s="22">
        <f>IF(OR($E82="",$F82="",$H82="",$L82=""),"",ABS($E82-$F82)*$H82*IF($M82="BASE",$L82/$E82,$L82))</f>
        <v/>
      </c>
      <c r="O82" s="22">
        <f>IF($J82&lt;&gt;"",$J82,IF(OR($E82="",$G82="",$H82="",$L82=""),"",($G82-$E82)*IF($C82="فروش",-1,1)*$H82*IF($M82="BASE",$L82/$G82,$L82)))</f>
        <v/>
      </c>
      <c r="P82" s="22">
        <f>IF($O82="","",$O82-N($I82))</f>
        <v/>
      </c>
      <c r="Q82" s="23">
        <f>IF(OR($P82="",$N82="",$N82=0),"",$P82/$N82)</f>
        <v/>
      </c>
      <c r="R82" s="21">
        <f>IF($P82="","",IF($P82&gt;0,"برد",IF($P82&lt;0,"باخت","سر به سر")))</f>
        <v/>
      </c>
      <c r="S82" s="22">
        <f>IF($P82="","",SUM($P$5:$P82))</f>
        <v/>
      </c>
      <c r="T82" s="24">
        <f>IF($R82="باخت",N($T81)+1,0)</f>
        <v/>
      </c>
      <c r="U82" s="22">
        <f>IF($S82="","",$S82-MAX($S$5:$S82))</f>
        <v/>
      </c>
    </row>
    <row r="83">
      <c r="A83" s="14" t="n"/>
      <c r="B83" s="15" t="n"/>
      <c r="C83" s="15" t="n"/>
      <c r="D83" s="15" t="n"/>
      <c r="E83" s="16" t="n"/>
      <c r="F83" s="16" t="n"/>
      <c r="G83" s="16" t="n"/>
      <c r="H83" s="17" t="n"/>
      <c r="I83" s="18" t="n"/>
      <c r="J83" s="18" t="n"/>
      <c r="K83" s="19" t="n"/>
      <c r="L83" s="20">
        <f>IF($B83="","",IFERROR(VLOOKUP($B83,'تنظیمات'!$A$4:$C$43,2,FALSE),1))</f>
        <v/>
      </c>
      <c r="M83" s="21">
        <f>IF($B83="","",IFERROR(VLOOKUP($B83,'تنظیمات'!$A$4:$C$43,3,FALSE),"USD"))</f>
        <v/>
      </c>
      <c r="N83" s="22">
        <f>IF(OR($E83="",$F83="",$H83="",$L83=""),"",ABS($E83-$F83)*$H83*IF($M83="BASE",$L83/$E83,$L83))</f>
        <v/>
      </c>
      <c r="O83" s="22">
        <f>IF($J83&lt;&gt;"",$J83,IF(OR($E83="",$G83="",$H83="",$L83=""),"",($G83-$E83)*IF($C83="فروش",-1,1)*$H83*IF($M83="BASE",$L83/$G83,$L83)))</f>
        <v/>
      </c>
      <c r="P83" s="22">
        <f>IF($O83="","",$O83-N($I83))</f>
        <v/>
      </c>
      <c r="Q83" s="23">
        <f>IF(OR($P83="",$N83="",$N83=0),"",$P83/$N83)</f>
        <v/>
      </c>
      <c r="R83" s="21">
        <f>IF($P83="","",IF($P83&gt;0,"برد",IF($P83&lt;0,"باخت","سر به سر")))</f>
        <v/>
      </c>
      <c r="S83" s="22">
        <f>IF($P83="","",SUM($P$5:$P83))</f>
        <v/>
      </c>
      <c r="T83" s="24">
        <f>IF($R83="باخت",N($T82)+1,0)</f>
        <v/>
      </c>
      <c r="U83" s="22">
        <f>IF($S83="","",$S83-MAX($S$5:$S83))</f>
        <v/>
      </c>
    </row>
    <row r="84">
      <c r="A84" s="14" t="n"/>
      <c r="B84" s="15" t="n"/>
      <c r="C84" s="15" t="n"/>
      <c r="D84" s="15" t="n"/>
      <c r="E84" s="16" t="n"/>
      <c r="F84" s="16" t="n"/>
      <c r="G84" s="16" t="n"/>
      <c r="H84" s="17" t="n"/>
      <c r="I84" s="18" t="n"/>
      <c r="J84" s="18" t="n"/>
      <c r="K84" s="19" t="n"/>
      <c r="L84" s="20">
        <f>IF($B84="","",IFERROR(VLOOKUP($B84,'تنظیمات'!$A$4:$C$43,2,FALSE),1))</f>
        <v/>
      </c>
      <c r="M84" s="21">
        <f>IF($B84="","",IFERROR(VLOOKUP($B84,'تنظیمات'!$A$4:$C$43,3,FALSE),"USD"))</f>
        <v/>
      </c>
      <c r="N84" s="22">
        <f>IF(OR($E84="",$F84="",$H84="",$L84=""),"",ABS($E84-$F84)*$H84*IF($M84="BASE",$L84/$E84,$L84))</f>
        <v/>
      </c>
      <c r="O84" s="22">
        <f>IF($J84&lt;&gt;"",$J84,IF(OR($E84="",$G84="",$H84="",$L84=""),"",($G84-$E84)*IF($C84="فروش",-1,1)*$H84*IF($M84="BASE",$L84/$G84,$L84)))</f>
        <v/>
      </c>
      <c r="P84" s="22">
        <f>IF($O84="","",$O84-N($I84))</f>
        <v/>
      </c>
      <c r="Q84" s="23">
        <f>IF(OR($P84="",$N84="",$N84=0),"",$P84/$N84)</f>
        <v/>
      </c>
      <c r="R84" s="21">
        <f>IF($P84="","",IF($P84&gt;0,"برد",IF($P84&lt;0,"باخت","سر به سر")))</f>
        <v/>
      </c>
      <c r="S84" s="22">
        <f>IF($P84="","",SUM($P$5:$P84))</f>
        <v/>
      </c>
      <c r="T84" s="24">
        <f>IF($R84="باخت",N($T83)+1,0)</f>
        <v/>
      </c>
      <c r="U84" s="22">
        <f>IF($S84="","",$S84-MAX($S$5:$S84))</f>
        <v/>
      </c>
    </row>
    <row r="85">
      <c r="A85" s="14" t="n"/>
      <c r="B85" s="15" t="n"/>
      <c r="C85" s="15" t="n"/>
      <c r="D85" s="15" t="n"/>
      <c r="E85" s="16" t="n"/>
      <c r="F85" s="16" t="n"/>
      <c r="G85" s="16" t="n"/>
      <c r="H85" s="17" t="n"/>
      <c r="I85" s="18" t="n"/>
      <c r="J85" s="18" t="n"/>
      <c r="K85" s="19" t="n"/>
      <c r="L85" s="20">
        <f>IF($B85="","",IFERROR(VLOOKUP($B85,'تنظیمات'!$A$4:$C$43,2,FALSE),1))</f>
        <v/>
      </c>
      <c r="M85" s="21">
        <f>IF($B85="","",IFERROR(VLOOKUP($B85,'تنظیمات'!$A$4:$C$43,3,FALSE),"USD"))</f>
        <v/>
      </c>
      <c r="N85" s="22">
        <f>IF(OR($E85="",$F85="",$H85="",$L85=""),"",ABS($E85-$F85)*$H85*IF($M85="BASE",$L85/$E85,$L85))</f>
        <v/>
      </c>
      <c r="O85" s="22">
        <f>IF($J85&lt;&gt;"",$J85,IF(OR($E85="",$G85="",$H85="",$L85=""),"",($G85-$E85)*IF($C85="فروش",-1,1)*$H85*IF($M85="BASE",$L85/$G85,$L85)))</f>
        <v/>
      </c>
      <c r="P85" s="22">
        <f>IF($O85="","",$O85-N($I85))</f>
        <v/>
      </c>
      <c r="Q85" s="23">
        <f>IF(OR($P85="",$N85="",$N85=0),"",$P85/$N85)</f>
        <v/>
      </c>
      <c r="R85" s="21">
        <f>IF($P85="","",IF($P85&gt;0,"برد",IF($P85&lt;0,"باخت","سر به سر")))</f>
        <v/>
      </c>
      <c r="S85" s="22">
        <f>IF($P85="","",SUM($P$5:$P85))</f>
        <v/>
      </c>
      <c r="T85" s="24">
        <f>IF($R85="باخت",N($T84)+1,0)</f>
        <v/>
      </c>
      <c r="U85" s="22">
        <f>IF($S85="","",$S85-MAX($S$5:$S85))</f>
        <v/>
      </c>
    </row>
    <row r="86">
      <c r="A86" s="14" t="n"/>
      <c r="B86" s="15" t="n"/>
      <c r="C86" s="15" t="n"/>
      <c r="D86" s="15" t="n"/>
      <c r="E86" s="16" t="n"/>
      <c r="F86" s="16" t="n"/>
      <c r="G86" s="16" t="n"/>
      <c r="H86" s="17" t="n"/>
      <c r="I86" s="18" t="n"/>
      <c r="J86" s="18" t="n"/>
      <c r="K86" s="19" t="n"/>
      <c r="L86" s="20">
        <f>IF($B86="","",IFERROR(VLOOKUP($B86,'تنظیمات'!$A$4:$C$43,2,FALSE),1))</f>
        <v/>
      </c>
      <c r="M86" s="21">
        <f>IF($B86="","",IFERROR(VLOOKUP($B86,'تنظیمات'!$A$4:$C$43,3,FALSE),"USD"))</f>
        <v/>
      </c>
      <c r="N86" s="22">
        <f>IF(OR($E86="",$F86="",$H86="",$L86=""),"",ABS($E86-$F86)*$H86*IF($M86="BASE",$L86/$E86,$L86))</f>
        <v/>
      </c>
      <c r="O86" s="22">
        <f>IF($J86&lt;&gt;"",$J86,IF(OR($E86="",$G86="",$H86="",$L86=""),"",($G86-$E86)*IF($C86="فروش",-1,1)*$H86*IF($M86="BASE",$L86/$G86,$L86)))</f>
        <v/>
      </c>
      <c r="P86" s="22">
        <f>IF($O86="","",$O86-N($I86))</f>
        <v/>
      </c>
      <c r="Q86" s="23">
        <f>IF(OR($P86="",$N86="",$N86=0),"",$P86/$N86)</f>
        <v/>
      </c>
      <c r="R86" s="21">
        <f>IF($P86="","",IF($P86&gt;0,"برد",IF($P86&lt;0,"باخت","سر به سر")))</f>
        <v/>
      </c>
      <c r="S86" s="22">
        <f>IF($P86="","",SUM($P$5:$P86))</f>
        <v/>
      </c>
      <c r="T86" s="24">
        <f>IF($R86="باخت",N($T85)+1,0)</f>
        <v/>
      </c>
      <c r="U86" s="22">
        <f>IF($S86="","",$S86-MAX($S$5:$S86))</f>
        <v/>
      </c>
    </row>
    <row r="87">
      <c r="A87" s="14" t="n"/>
      <c r="B87" s="15" t="n"/>
      <c r="C87" s="15" t="n"/>
      <c r="D87" s="15" t="n"/>
      <c r="E87" s="16" t="n"/>
      <c r="F87" s="16" t="n"/>
      <c r="G87" s="16" t="n"/>
      <c r="H87" s="17" t="n"/>
      <c r="I87" s="18" t="n"/>
      <c r="J87" s="18" t="n"/>
      <c r="K87" s="19" t="n"/>
      <c r="L87" s="20">
        <f>IF($B87="","",IFERROR(VLOOKUP($B87,'تنظیمات'!$A$4:$C$43,2,FALSE),1))</f>
        <v/>
      </c>
      <c r="M87" s="21">
        <f>IF($B87="","",IFERROR(VLOOKUP($B87,'تنظیمات'!$A$4:$C$43,3,FALSE),"USD"))</f>
        <v/>
      </c>
      <c r="N87" s="22">
        <f>IF(OR($E87="",$F87="",$H87="",$L87=""),"",ABS($E87-$F87)*$H87*IF($M87="BASE",$L87/$E87,$L87))</f>
        <v/>
      </c>
      <c r="O87" s="22">
        <f>IF($J87&lt;&gt;"",$J87,IF(OR($E87="",$G87="",$H87="",$L87=""),"",($G87-$E87)*IF($C87="فروش",-1,1)*$H87*IF($M87="BASE",$L87/$G87,$L87)))</f>
        <v/>
      </c>
      <c r="P87" s="22">
        <f>IF($O87="","",$O87-N($I87))</f>
        <v/>
      </c>
      <c r="Q87" s="23">
        <f>IF(OR($P87="",$N87="",$N87=0),"",$P87/$N87)</f>
        <v/>
      </c>
      <c r="R87" s="21">
        <f>IF($P87="","",IF($P87&gt;0,"برد",IF($P87&lt;0,"باخت","سر به سر")))</f>
        <v/>
      </c>
      <c r="S87" s="22">
        <f>IF($P87="","",SUM($P$5:$P87))</f>
        <v/>
      </c>
      <c r="T87" s="24">
        <f>IF($R87="باخت",N($T86)+1,0)</f>
        <v/>
      </c>
      <c r="U87" s="22">
        <f>IF($S87="","",$S87-MAX($S$5:$S87))</f>
        <v/>
      </c>
    </row>
    <row r="88">
      <c r="A88" s="14" t="n"/>
      <c r="B88" s="15" t="n"/>
      <c r="C88" s="15" t="n"/>
      <c r="D88" s="15" t="n"/>
      <c r="E88" s="16" t="n"/>
      <c r="F88" s="16" t="n"/>
      <c r="G88" s="16" t="n"/>
      <c r="H88" s="17" t="n"/>
      <c r="I88" s="18" t="n"/>
      <c r="J88" s="18" t="n"/>
      <c r="K88" s="19" t="n"/>
      <c r="L88" s="20">
        <f>IF($B88="","",IFERROR(VLOOKUP($B88,'تنظیمات'!$A$4:$C$43,2,FALSE),1))</f>
        <v/>
      </c>
      <c r="M88" s="21">
        <f>IF($B88="","",IFERROR(VLOOKUP($B88,'تنظیمات'!$A$4:$C$43,3,FALSE),"USD"))</f>
        <v/>
      </c>
      <c r="N88" s="22">
        <f>IF(OR($E88="",$F88="",$H88="",$L88=""),"",ABS($E88-$F88)*$H88*IF($M88="BASE",$L88/$E88,$L88))</f>
        <v/>
      </c>
      <c r="O88" s="22">
        <f>IF($J88&lt;&gt;"",$J88,IF(OR($E88="",$G88="",$H88="",$L88=""),"",($G88-$E88)*IF($C88="فروش",-1,1)*$H88*IF($M88="BASE",$L88/$G88,$L88)))</f>
        <v/>
      </c>
      <c r="P88" s="22">
        <f>IF($O88="","",$O88-N($I88))</f>
        <v/>
      </c>
      <c r="Q88" s="23">
        <f>IF(OR($P88="",$N88="",$N88=0),"",$P88/$N88)</f>
        <v/>
      </c>
      <c r="R88" s="21">
        <f>IF($P88="","",IF($P88&gt;0,"برد",IF($P88&lt;0,"باخت","سر به سر")))</f>
        <v/>
      </c>
      <c r="S88" s="22">
        <f>IF($P88="","",SUM($P$5:$P88))</f>
        <v/>
      </c>
      <c r="T88" s="24">
        <f>IF($R88="باخت",N($T87)+1,0)</f>
        <v/>
      </c>
      <c r="U88" s="22">
        <f>IF($S88="","",$S88-MAX($S$5:$S88))</f>
        <v/>
      </c>
    </row>
    <row r="89">
      <c r="A89" s="14" t="n"/>
      <c r="B89" s="15" t="n"/>
      <c r="C89" s="15" t="n"/>
      <c r="D89" s="15" t="n"/>
      <c r="E89" s="16" t="n"/>
      <c r="F89" s="16" t="n"/>
      <c r="G89" s="16" t="n"/>
      <c r="H89" s="17" t="n"/>
      <c r="I89" s="18" t="n"/>
      <c r="J89" s="18" t="n"/>
      <c r="K89" s="19" t="n"/>
      <c r="L89" s="20">
        <f>IF($B89="","",IFERROR(VLOOKUP($B89,'تنظیمات'!$A$4:$C$43,2,FALSE),1))</f>
        <v/>
      </c>
      <c r="M89" s="21">
        <f>IF($B89="","",IFERROR(VLOOKUP($B89,'تنظیمات'!$A$4:$C$43,3,FALSE),"USD"))</f>
        <v/>
      </c>
      <c r="N89" s="22">
        <f>IF(OR($E89="",$F89="",$H89="",$L89=""),"",ABS($E89-$F89)*$H89*IF($M89="BASE",$L89/$E89,$L89))</f>
        <v/>
      </c>
      <c r="O89" s="22">
        <f>IF($J89&lt;&gt;"",$J89,IF(OR($E89="",$G89="",$H89="",$L89=""),"",($G89-$E89)*IF($C89="فروش",-1,1)*$H89*IF($M89="BASE",$L89/$G89,$L89)))</f>
        <v/>
      </c>
      <c r="P89" s="22">
        <f>IF($O89="","",$O89-N($I89))</f>
        <v/>
      </c>
      <c r="Q89" s="23">
        <f>IF(OR($P89="",$N89="",$N89=0),"",$P89/$N89)</f>
        <v/>
      </c>
      <c r="R89" s="21">
        <f>IF($P89="","",IF($P89&gt;0,"برد",IF($P89&lt;0,"باخت","سر به سر")))</f>
        <v/>
      </c>
      <c r="S89" s="22">
        <f>IF($P89="","",SUM($P$5:$P89))</f>
        <v/>
      </c>
      <c r="T89" s="24">
        <f>IF($R89="باخت",N($T88)+1,0)</f>
        <v/>
      </c>
      <c r="U89" s="22">
        <f>IF($S89="","",$S89-MAX($S$5:$S89))</f>
        <v/>
      </c>
    </row>
    <row r="90">
      <c r="A90" s="14" t="n"/>
      <c r="B90" s="15" t="n"/>
      <c r="C90" s="15" t="n"/>
      <c r="D90" s="15" t="n"/>
      <c r="E90" s="16" t="n"/>
      <c r="F90" s="16" t="n"/>
      <c r="G90" s="16" t="n"/>
      <c r="H90" s="17" t="n"/>
      <c r="I90" s="18" t="n"/>
      <c r="J90" s="18" t="n"/>
      <c r="K90" s="19" t="n"/>
      <c r="L90" s="20">
        <f>IF($B90="","",IFERROR(VLOOKUP($B90,'تنظیمات'!$A$4:$C$43,2,FALSE),1))</f>
        <v/>
      </c>
      <c r="M90" s="21">
        <f>IF($B90="","",IFERROR(VLOOKUP($B90,'تنظیمات'!$A$4:$C$43,3,FALSE),"USD"))</f>
        <v/>
      </c>
      <c r="N90" s="22">
        <f>IF(OR($E90="",$F90="",$H90="",$L90=""),"",ABS($E90-$F90)*$H90*IF($M90="BASE",$L90/$E90,$L90))</f>
        <v/>
      </c>
      <c r="O90" s="22">
        <f>IF($J90&lt;&gt;"",$J90,IF(OR($E90="",$G90="",$H90="",$L90=""),"",($G90-$E90)*IF($C90="فروش",-1,1)*$H90*IF($M90="BASE",$L90/$G90,$L90)))</f>
        <v/>
      </c>
      <c r="P90" s="22">
        <f>IF($O90="","",$O90-N($I90))</f>
        <v/>
      </c>
      <c r="Q90" s="23">
        <f>IF(OR($P90="",$N90="",$N90=0),"",$P90/$N90)</f>
        <v/>
      </c>
      <c r="R90" s="21">
        <f>IF($P90="","",IF($P90&gt;0,"برد",IF($P90&lt;0,"باخت","سر به سر")))</f>
        <v/>
      </c>
      <c r="S90" s="22">
        <f>IF($P90="","",SUM($P$5:$P90))</f>
        <v/>
      </c>
      <c r="T90" s="24">
        <f>IF($R90="باخت",N($T89)+1,0)</f>
        <v/>
      </c>
      <c r="U90" s="22">
        <f>IF($S90="","",$S90-MAX($S$5:$S90))</f>
        <v/>
      </c>
    </row>
    <row r="91">
      <c r="A91" s="14" t="n"/>
      <c r="B91" s="15" t="n"/>
      <c r="C91" s="15" t="n"/>
      <c r="D91" s="15" t="n"/>
      <c r="E91" s="16" t="n"/>
      <c r="F91" s="16" t="n"/>
      <c r="G91" s="16" t="n"/>
      <c r="H91" s="17" t="n"/>
      <c r="I91" s="18" t="n"/>
      <c r="J91" s="18" t="n"/>
      <c r="K91" s="19" t="n"/>
      <c r="L91" s="20">
        <f>IF($B91="","",IFERROR(VLOOKUP($B91,'تنظیمات'!$A$4:$C$43,2,FALSE),1))</f>
        <v/>
      </c>
      <c r="M91" s="21">
        <f>IF($B91="","",IFERROR(VLOOKUP($B91,'تنظیمات'!$A$4:$C$43,3,FALSE),"USD"))</f>
        <v/>
      </c>
      <c r="N91" s="22">
        <f>IF(OR($E91="",$F91="",$H91="",$L91=""),"",ABS($E91-$F91)*$H91*IF($M91="BASE",$L91/$E91,$L91))</f>
        <v/>
      </c>
      <c r="O91" s="22">
        <f>IF($J91&lt;&gt;"",$J91,IF(OR($E91="",$G91="",$H91="",$L91=""),"",($G91-$E91)*IF($C91="فروش",-1,1)*$H91*IF($M91="BASE",$L91/$G91,$L91)))</f>
        <v/>
      </c>
      <c r="P91" s="22">
        <f>IF($O91="","",$O91-N($I91))</f>
        <v/>
      </c>
      <c r="Q91" s="23">
        <f>IF(OR($P91="",$N91="",$N91=0),"",$P91/$N91)</f>
        <v/>
      </c>
      <c r="R91" s="21">
        <f>IF($P91="","",IF($P91&gt;0,"برد",IF($P91&lt;0,"باخت","سر به سر")))</f>
        <v/>
      </c>
      <c r="S91" s="22">
        <f>IF($P91="","",SUM($P$5:$P91))</f>
        <v/>
      </c>
      <c r="T91" s="24">
        <f>IF($R91="باخت",N($T90)+1,0)</f>
        <v/>
      </c>
      <c r="U91" s="22">
        <f>IF($S91="","",$S91-MAX($S$5:$S91))</f>
        <v/>
      </c>
    </row>
    <row r="92">
      <c r="A92" s="14" t="n"/>
      <c r="B92" s="15" t="n"/>
      <c r="C92" s="15" t="n"/>
      <c r="D92" s="15" t="n"/>
      <c r="E92" s="16" t="n"/>
      <c r="F92" s="16" t="n"/>
      <c r="G92" s="16" t="n"/>
      <c r="H92" s="17" t="n"/>
      <c r="I92" s="18" t="n"/>
      <c r="J92" s="18" t="n"/>
      <c r="K92" s="19" t="n"/>
      <c r="L92" s="20">
        <f>IF($B92="","",IFERROR(VLOOKUP($B92,'تنظیمات'!$A$4:$C$43,2,FALSE),1))</f>
        <v/>
      </c>
      <c r="M92" s="21">
        <f>IF($B92="","",IFERROR(VLOOKUP($B92,'تنظیمات'!$A$4:$C$43,3,FALSE),"USD"))</f>
        <v/>
      </c>
      <c r="N92" s="22">
        <f>IF(OR($E92="",$F92="",$H92="",$L92=""),"",ABS($E92-$F92)*$H92*IF($M92="BASE",$L92/$E92,$L92))</f>
        <v/>
      </c>
      <c r="O92" s="22">
        <f>IF($J92&lt;&gt;"",$J92,IF(OR($E92="",$G92="",$H92="",$L92=""),"",($G92-$E92)*IF($C92="فروش",-1,1)*$H92*IF($M92="BASE",$L92/$G92,$L92)))</f>
        <v/>
      </c>
      <c r="P92" s="22">
        <f>IF($O92="","",$O92-N($I92))</f>
        <v/>
      </c>
      <c r="Q92" s="23">
        <f>IF(OR($P92="",$N92="",$N92=0),"",$P92/$N92)</f>
        <v/>
      </c>
      <c r="R92" s="21">
        <f>IF($P92="","",IF($P92&gt;0,"برد",IF($P92&lt;0,"باخت","سر به سر")))</f>
        <v/>
      </c>
      <c r="S92" s="22">
        <f>IF($P92="","",SUM($P$5:$P92))</f>
        <v/>
      </c>
      <c r="T92" s="24">
        <f>IF($R92="باخت",N($T91)+1,0)</f>
        <v/>
      </c>
      <c r="U92" s="22">
        <f>IF($S92="","",$S92-MAX($S$5:$S92))</f>
        <v/>
      </c>
    </row>
    <row r="93">
      <c r="A93" s="14" t="n"/>
      <c r="B93" s="15" t="n"/>
      <c r="C93" s="15" t="n"/>
      <c r="D93" s="15" t="n"/>
      <c r="E93" s="16" t="n"/>
      <c r="F93" s="16" t="n"/>
      <c r="G93" s="16" t="n"/>
      <c r="H93" s="17" t="n"/>
      <c r="I93" s="18" t="n"/>
      <c r="J93" s="18" t="n"/>
      <c r="K93" s="19" t="n"/>
      <c r="L93" s="20">
        <f>IF($B93="","",IFERROR(VLOOKUP($B93,'تنظیمات'!$A$4:$C$43,2,FALSE),1))</f>
        <v/>
      </c>
      <c r="M93" s="21">
        <f>IF($B93="","",IFERROR(VLOOKUP($B93,'تنظیمات'!$A$4:$C$43,3,FALSE),"USD"))</f>
        <v/>
      </c>
      <c r="N93" s="22">
        <f>IF(OR($E93="",$F93="",$H93="",$L93=""),"",ABS($E93-$F93)*$H93*IF($M93="BASE",$L93/$E93,$L93))</f>
        <v/>
      </c>
      <c r="O93" s="22">
        <f>IF($J93&lt;&gt;"",$J93,IF(OR($E93="",$G93="",$H93="",$L93=""),"",($G93-$E93)*IF($C93="فروش",-1,1)*$H93*IF($M93="BASE",$L93/$G93,$L93)))</f>
        <v/>
      </c>
      <c r="P93" s="22">
        <f>IF($O93="","",$O93-N($I93))</f>
        <v/>
      </c>
      <c r="Q93" s="23">
        <f>IF(OR($P93="",$N93="",$N93=0),"",$P93/$N93)</f>
        <v/>
      </c>
      <c r="R93" s="21">
        <f>IF($P93="","",IF($P93&gt;0,"برد",IF($P93&lt;0,"باخت","سر به سر")))</f>
        <v/>
      </c>
      <c r="S93" s="22">
        <f>IF($P93="","",SUM($P$5:$P93))</f>
        <v/>
      </c>
      <c r="T93" s="24">
        <f>IF($R93="باخت",N($T92)+1,0)</f>
        <v/>
      </c>
      <c r="U93" s="22">
        <f>IF($S93="","",$S93-MAX($S$5:$S93))</f>
        <v/>
      </c>
    </row>
    <row r="94">
      <c r="A94" s="14" t="n"/>
      <c r="B94" s="15" t="n"/>
      <c r="C94" s="15" t="n"/>
      <c r="D94" s="15" t="n"/>
      <c r="E94" s="16" t="n"/>
      <c r="F94" s="16" t="n"/>
      <c r="G94" s="16" t="n"/>
      <c r="H94" s="17" t="n"/>
      <c r="I94" s="18" t="n"/>
      <c r="J94" s="18" t="n"/>
      <c r="K94" s="19" t="n"/>
      <c r="L94" s="20">
        <f>IF($B94="","",IFERROR(VLOOKUP($B94,'تنظیمات'!$A$4:$C$43,2,FALSE),1))</f>
        <v/>
      </c>
      <c r="M94" s="21">
        <f>IF($B94="","",IFERROR(VLOOKUP($B94,'تنظیمات'!$A$4:$C$43,3,FALSE),"USD"))</f>
        <v/>
      </c>
      <c r="N94" s="22">
        <f>IF(OR($E94="",$F94="",$H94="",$L94=""),"",ABS($E94-$F94)*$H94*IF($M94="BASE",$L94/$E94,$L94))</f>
        <v/>
      </c>
      <c r="O94" s="22">
        <f>IF($J94&lt;&gt;"",$J94,IF(OR($E94="",$G94="",$H94="",$L94=""),"",($G94-$E94)*IF($C94="فروش",-1,1)*$H94*IF($M94="BASE",$L94/$G94,$L94)))</f>
        <v/>
      </c>
      <c r="P94" s="22">
        <f>IF($O94="","",$O94-N($I94))</f>
        <v/>
      </c>
      <c r="Q94" s="23">
        <f>IF(OR($P94="",$N94="",$N94=0),"",$P94/$N94)</f>
        <v/>
      </c>
      <c r="R94" s="21">
        <f>IF($P94="","",IF($P94&gt;0,"برد",IF($P94&lt;0,"باخت","سر به سر")))</f>
        <v/>
      </c>
      <c r="S94" s="22">
        <f>IF($P94="","",SUM($P$5:$P94))</f>
        <v/>
      </c>
      <c r="T94" s="24">
        <f>IF($R94="باخت",N($T93)+1,0)</f>
        <v/>
      </c>
      <c r="U94" s="22">
        <f>IF($S94="","",$S94-MAX($S$5:$S94))</f>
        <v/>
      </c>
    </row>
    <row r="95">
      <c r="A95" s="14" t="n"/>
      <c r="B95" s="15" t="n"/>
      <c r="C95" s="15" t="n"/>
      <c r="D95" s="15" t="n"/>
      <c r="E95" s="16" t="n"/>
      <c r="F95" s="16" t="n"/>
      <c r="G95" s="16" t="n"/>
      <c r="H95" s="17" t="n"/>
      <c r="I95" s="18" t="n"/>
      <c r="J95" s="18" t="n"/>
      <c r="K95" s="19" t="n"/>
      <c r="L95" s="20">
        <f>IF($B95="","",IFERROR(VLOOKUP($B95,'تنظیمات'!$A$4:$C$43,2,FALSE),1))</f>
        <v/>
      </c>
      <c r="M95" s="21">
        <f>IF($B95="","",IFERROR(VLOOKUP($B95,'تنظیمات'!$A$4:$C$43,3,FALSE),"USD"))</f>
        <v/>
      </c>
      <c r="N95" s="22">
        <f>IF(OR($E95="",$F95="",$H95="",$L95=""),"",ABS($E95-$F95)*$H95*IF($M95="BASE",$L95/$E95,$L95))</f>
        <v/>
      </c>
      <c r="O95" s="22">
        <f>IF($J95&lt;&gt;"",$J95,IF(OR($E95="",$G95="",$H95="",$L95=""),"",($G95-$E95)*IF($C95="فروش",-1,1)*$H95*IF($M95="BASE",$L95/$G95,$L95)))</f>
        <v/>
      </c>
      <c r="P95" s="22">
        <f>IF($O95="","",$O95-N($I95))</f>
        <v/>
      </c>
      <c r="Q95" s="23">
        <f>IF(OR($P95="",$N95="",$N95=0),"",$P95/$N95)</f>
        <v/>
      </c>
      <c r="R95" s="21">
        <f>IF($P95="","",IF($P95&gt;0,"برد",IF($P95&lt;0,"باخت","سر به سر")))</f>
        <v/>
      </c>
      <c r="S95" s="22">
        <f>IF($P95="","",SUM($P$5:$P95))</f>
        <v/>
      </c>
      <c r="T95" s="24">
        <f>IF($R95="باخت",N($T94)+1,0)</f>
        <v/>
      </c>
      <c r="U95" s="22">
        <f>IF($S95="","",$S95-MAX($S$5:$S95))</f>
        <v/>
      </c>
    </row>
    <row r="96">
      <c r="A96" s="14" t="n"/>
      <c r="B96" s="15" t="n"/>
      <c r="C96" s="15" t="n"/>
      <c r="D96" s="15" t="n"/>
      <c r="E96" s="16" t="n"/>
      <c r="F96" s="16" t="n"/>
      <c r="G96" s="16" t="n"/>
      <c r="H96" s="17" t="n"/>
      <c r="I96" s="18" t="n"/>
      <c r="J96" s="18" t="n"/>
      <c r="K96" s="19" t="n"/>
      <c r="L96" s="20">
        <f>IF($B96="","",IFERROR(VLOOKUP($B96,'تنظیمات'!$A$4:$C$43,2,FALSE),1))</f>
        <v/>
      </c>
      <c r="M96" s="21">
        <f>IF($B96="","",IFERROR(VLOOKUP($B96,'تنظیمات'!$A$4:$C$43,3,FALSE),"USD"))</f>
        <v/>
      </c>
      <c r="N96" s="22">
        <f>IF(OR($E96="",$F96="",$H96="",$L96=""),"",ABS($E96-$F96)*$H96*IF($M96="BASE",$L96/$E96,$L96))</f>
        <v/>
      </c>
      <c r="O96" s="22">
        <f>IF($J96&lt;&gt;"",$J96,IF(OR($E96="",$G96="",$H96="",$L96=""),"",($G96-$E96)*IF($C96="فروش",-1,1)*$H96*IF($M96="BASE",$L96/$G96,$L96)))</f>
        <v/>
      </c>
      <c r="P96" s="22">
        <f>IF($O96="","",$O96-N($I96))</f>
        <v/>
      </c>
      <c r="Q96" s="23">
        <f>IF(OR($P96="",$N96="",$N96=0),"",$P96/$N96)</f>
        <v/>
      </c>
      <c r="R96" s="21">
        <f>IF($P96="","",IF($P96&gt;0,"برد",IF($P96&lt;0,"باخت","سر به سر")))</f>
        <v/>
      </c>
      <c r="S96" s="22">
        <f>IF($P96="","",SUM($P$5:$P96))</f>
        <v/>
      </c>
      <c r="T96" s="24">
        <f>IF($R96="باخت",N($T95)+1,0)</f>
        <v/>
      </c>
      <c r="U96" s="22">
        <f>IF($S96="","",$S96-MAX($S$5:$S96))</f>
        <v/>
      </c>
    </row>
    <row r="97">
      <c r="A97" s="14" t="n"/>
      <c r="B97" s="15" t="n"/>
      <c r="C97" s="15" t="n"/>
      <c r="D97" s="15" t="n"/>
      <c r="E97" s="16" t="n"/>
      <c r="F97" s="16" t="n"/>
      <c r="G97" s="16" t="n"/>
      <c r="H97" s="17" t="n"/>
      <c r="I97" s="18" t="n"/>
      <c r="J97" s="18" t="n"/>
      <c r="K97" s="19" t="n"/>
      <c r="L97" s="20">
        <f>IF($B97="","",IFERROR(VLOOKUP($B97,'تنظیمات'!$A$4:$C$43,2,FALSE),1))</f>
        <v/>
      </c>
      <c r="M97" s="21">
        <f>IF($B97="","",IFERROR(VLOOKUP($B97,'تنظیمات'!$A$4:$C$43,3,FALSE),"USD"))</f>
        <v/>
      </c>
      <c r="N97" s="22">
        <f>IF(OR($E97="",$F97="",$H97="",$L97=""),"",ABS($E97-$F97)*$H97*IF($M97="BASE",$L97/$E97,$L97))</f>
        <v/>
      </c>
      <c r="O97" s="22">
        <f>IF($J97&lt;&gt;"",$J97,IF(OR($E97="",$G97="",$H97="",$L97=""),"",($G97-$E97)*IF($C97="فروش",-1,1)*$H97*IF($M97="BASE",$L97/$G97,$L97)))</f>
        <v/>
      </c>
      <c r="P97" s="22">
        <f>IF($O97="","",$O97-N($I97))</f>
        <v/>
      </c>
      <c r="Q97" s="23">
        <f>IF(OR($P97="",$N97="",$N97=0),"",$P97/$N97)</f>
        <v/>
      </c>
      <c r="R97" s="21">
        <f>IF($P97="","",IF($P97&gt;0,"برد",IF($P97&lt;0,"باخت","سر به سر")))</f>
        <v/>
      </c>
      <c r="S97" s="22">
        <f>IF($P97="","",SUM($P$5:$P97))</f>
        <v/>
      </c>
      <c r="T97" s="24">
        <f>IF($R97="باخت",N($T96)+1,0)</f>
        <v/>
      </c>
      <c r="U97" s="22">
        <f>IF($S97="","",$S97-MAX($S$5:$S97))</f>
        <v/>
      </c>
    </row>
    <row r="98">
      <c r="A98" s="14" t="n"/>
      <c r="B98" s="15" t="n"/>
      <c r="C98" s="15" t="n"/>
      <c r="D98" s="15" t="n"/>
      <c r="E98" s="16" t="n"/>
      <c r="F98" s="16" t="n"/>
      <c r="G98" s="16" t="n"/>
      <c r="H98" s="17" t="n"/>
      <c r="I98" s="18" t="n"/>
      <c r="J98" s="18" t="n"/>
      <c r="K98" s="19" t="n"/>
      <c r="L98" s="20">
        <f>IF($B98="","",IFERROR(VLOOKUP($B98,'تنظیمات'!$A$4:$C$43,2,FALSE),1))</f>
        <v/>
      </c>
      <c r="M98" s="21">
        <f>IF($B98="","",IFERROR(VLOOKUP($B98,'تنظیمات'!$A$4:$C$43,3,FALSE),"USD"))</f>
        <v/>
      </c>
      <c r="N98" s="22">
        <f>IF(OR($E98="",$F98="",$H98="",$L98=""),"",ABS($E98-$F98)*$H98*IF($M98="BASE",$L98/$E98,$L98))</f>
        <v/>
      </c>
      <c r="O98" s="22">
        <f>IF($J98&lt;&gt;"",$J98,IF(OR($E98="",$G98="",$H98="",$L98=""),"",($G98-$E98)*IF($C98="فروش",-1,1)*$H98*IF($M98="BASE",$L98/$G98,$L98)))</f>
        <v/>
      </c>
      <c r="P98" s="22">
        <f>IF($O98="","",$O98-N($I98))</f>
        <v/>
      </c>
      <c r="Q98" s="23">
        <f>IF(OR($P98="",$N98="",$N98=0),"",$P98/$N98)</f>
        <v/>
      </c>
      <c r="R98" s="21">
        <f>IF($P98="","",IF($P98&gt;0,"برد",IF($P98&lt;0,"باخت","سر به سر")))</f>
        <v/>
      </c>
      <c r="S98" s="22">
        <f>IF($P98="","",SUM($P$5:$P98))</f>
        <v/>
      </c>
      <c r="T98" s="24">
        <f>IF($R98="باخت",N($T97)+1,0)</f>
        <v/>
      </c>
      <c r="U98" s="22">
        <f>IF($S98="","",$S98-MAX($S$5:$S98))</f>
        <v/>
      </c>
    </row>
    <row r="99">
      <c r="A99" s="14" t="n"/>
      <c r="B99" s="15" t="n"/>
      <c r="C99" s="15" t="n"/>
      <c r="D99" s="15" t="n"/>
      <c r="E99" s="16" t="n"/>
      <c r="F99" s="16" t="n"/>
      <c r="G99" s="16" t="n"/>
      <c r="H99" s="17" t="n"/>
      <c r="I99" s="18" t="n"/>
      <c r="J99" s="18" t="n"/>
      <c r="K99" s="19" t="n"/>
      <c r="L99" s="20">
        <f>IF($B99="","",IFERROR(VLOOKUP($B99,'تنظیمات'!$A$4:$C$43,2,FALSE),1))</f>
        <v/>
      </c>
      <c r="M99" s="21">
        <f>IF($B99="","",IFERROR(VLOOKUP($B99,'تنظیمات'!$A$4:$C$43,3,FALSE),"USD"))</f>
        <v/>
      </c>
      <c r="N99" s="22">
        <f>IF(OR($E99="",$F99="",$H99="",$L99=""),"",ABS($E99-$F99)*$H99*IF($M99="BASE",$L99/$E99,$L99))</f>
        <v/>
      </c>
      <c r="O99" s="22">
        <f>IF($J99&lt;&gt;"",$J99,IF(OR($E99="",$G99="",$H99="",$L99=""),"",($G99-$E99)*IF($C99="فروش",-1,1)*$H99*IF($M99="BASE",$L99/$G99,$L99)))</f>
        <v/>
      </c>
      <c r="P99" s="22">
        <f>IF($O99="","",$O99-N($I99))</f>
        <v/>
      </c>
      <c r="Q99" s="23">
        <f>IF(OR($P99="",$N99="",$N99=0),"",$P99/$N99)</f>
        <v/>
      </c>
      <c r="R99" s="21">
        <f>IF($P99="","",IF($P99&gt;0,"برد",IF($P99&lt;0,"باخت","سر به سر")))</f>
        <v/>
      </c>
      <c r="S99" s="22">
        <f>IF($P99="","",SUM($P$5:$P99))</f>
        <v/>
      </c>
      <c r="T99" s="24">
        <f>IF($R99="باخت",N($T98)+1,0)</f>
        <v/>
      </c>
      <c r="U99" s="22">
        <f>IF($S99="","",$S99-MAX($S$5:$S99))</f>
        <v/>
      </c>
    </row>
    <row r="100">
      <c r="A100" s="14" t="n"/>
      <c r="B100" s="15" t="n"/>
      <c r="C100" s="15" t="n"/>
      <c r="D100" s="15" t="n"/>
      <c r="E100" s="16" t="n"/>
      <c r="F100" s="16" t="n"/>
      <c r="G100" s="16" t="n"/>
      <c r="H100" s="17" t="n"/>
      <c r="I100" s="18" t="n"/>
      <c r="J100" s="18" t="n"/>
      <c r="K100" s="19" t="n"/>
      <c r="L100" s="20">
        <f>IF($B100="","",IFERROR(VLOOKUP($B100,'تنظیمات'!$A$4:$C$43,2,FALSE),1))</f>
        <v/>
      </c>
      <c r="M100" s="21">
        <f>IF($B100="","",IFERROR(VLOOKUP($B100,'تنظیمات'!$A$4:$C$43,3,FALSE),"USD"))</f>
        <v/>
      </c>
      <c r="N100" s="22">
        <f>IF(OR($E100="",$F100="",$H100="",$L100=""),"",ABS($E100-$F100)*$H100*IF($M100="BASE",$L100/$E100,$L100))</f>
        <v/>
      </c>
      <c r="O100" s="22">
        <f>IF($J100&lt;&gt;"",$J100,IF(OR($E100="",$G100="",$H100="",$L100=""),"",($G100-$E100)*IF($C100="فروش",-1,1)*$H100*IF($M100="BASE",$L100/$G100,$L100)))</f>
        <v/>
      </c>
      <c r="P100" s="22">
        <f>IF($O100="","",$O100-N($I100))</f>
        <v/>
      </c>
      <c r="Q100" s="23">
        <f>IF(OR($P100="",$N100="",$N100=0),"",$P100/$N100)</f>
        <v/>
      </c>
      <c r="R100" s="21">
        <f>IF($P100="","",IF($P100&gt;0,"برد",IF($P100&lt;0,"باخت","سر به سر")))</f>
        <v/>
      </c>
      <c r="S100" s="22">
        <f>IF($P100="","",SUM($P$5:$P100))</f>
        <v/>
      </c>
      <c r="T100" s="24">
        <f>IF($R100="باخت",N($T99)+1,0)</f>
        <v/>
      </c>
      <c r="U100" s="22">
        <f>IF($S100="","",$S100-MAX($S$5:$S100))</f>
        <v/>
      </c>
    </row>
    <row r="101">
      <c r="A101" s="14" t="n"/>
      <c r="B101" s="15" t="n"/>
      <c r="C101" s="15" t="n"/>
      <c r="D101" s="15" t="n"/>
      <c r="E101" s="16" t="n"/>
      <c r="F101" s="16" t="n"/>
      <c r="G101" s="16" t="n"/>
      <c r="H101" s="17" t="n"/>
      <c r="I101" s="18" t="n"/>
      <c r="J101" s="18" t="n"/>
      <c r="K101" s="19" t="n"/>
      <c r="L101" s="20">
        <f>IF($B101="","",IFERROR(VLOOKUP($B101,'تنظیمات'!$A$4:$C$43,2,FALSE),1))</f>
        <v/>
      </c>
      <c r="M101" s="21">
        <f>IF($B101="","",IFERROR(VLOOKUP($B101,'تنظیمات'!$A$4:$C$43,3,FALSE),"USD"))</f>
        <v/>
      </c>
      <c r="N101" s="22">
        <f>IF(OR($E101="",$F101="",$H101="",$L101=""),"",ABS($E101-$F101)*$H101*IF($M101="BASE",$L101/$E101,$L101))</f>
        <v/>
      </c>
      <c r="O101" s="22">
        <f>IF($J101&lt;&gt;"",$J101,IF(OR($E101="",$G101="",$H101="",$L101=""),"",($G101-$E101)*IF($C101="فروش",-1,1)*$H101*IF($M101="BASE",$L101/$G101,$L101)))</f>
        <v/>
      </c>
      <c r="P101" s="22">
        <f>IF($O101="","",$O101-N($I101))</f>
        <v/>
      </c>
      <c r="Q101" s="23">
        <f>IF(OR($P101="",$N101="",$N101=0),"",$P101/$N101)</f>
        <v/>
      </c>
      <c r="R101" s="21">
        <f>IF($P101="","",IF($P101&gt;0,"برد",IF($P101&lt;0,"باخت","سر به سر")))</f>
        <v/>
      </c>
      <c r="S101" s="22">
        <f>IF($P101="","",SUM($P$5:$P101))</f>
        <v/>
      </c>
      <c r="T101" s="24">
        <f>IF($R101="باخت",N($T100)+1,0)</f>
        <v/>
      </c>
      <c r="U101" s="22">
        <f>IF($S101="","",$S101-MAX($S$5:$S101))</f>
        <v/>
      </c>
    </row>
    <row r="102">
      <c r="A102" s="14" t="n"/>
      <c r="B102" s="15" t="n"/>
      <c r="C102" s="15" t="n"/>
      <c r="D102" s="15" t="n"/>
      <c r="E102" s="16" t="n"/>
      <c r="F102" s="16" t="n"/>
      <c r="G102" s="16" t="n"/>
      <c r="H102" s="17" t="n"/>
      <c r="I102" s="18" t="n"/>
      <c r="J102" s="18" t="n"/>
      <c r="K102" s="19" t="n"/>
      <c r="L102" s="20">
        <f>IF($B102="","",IFERROR(VLOOKUP($B102,'تنظیمات'!$A$4:$C$43,2,FALSE),1))</f>
        <v/>
      </c>
      <c r="M102" s="21">
        <f>IF($B102="","",IFERROR(VLOOKUP($B102,'تنظیمات'!$A$4:$C$43,3,FALSE),"USD"))</f>
        <v/>
      </c>
      <c r="N102" s="22">
        <f>IF(OR($E102="",$F102="",$H102="",$L102=""),"",ABS($E102-$F102)*$H102*IF($M102="BASE",$L102/$E102,$L102))</f>
        <v/>
      </c>
      <c r="O102" s="22">
        <f>IF($J102&lt;&gt;"",$J102,IF(OR($E102="",$G102="",$H102="",$L102=""),"",($G102-$E102)*IF($C102="فروش",-1,1)*$H102*IF($M102="BASE",$L102/$G102,$L102)))</f>
        <v/>
      </c>
      <c r="P102" s="22">
        <f>IF($O102="","",$O102-N($I102))</f>
        <v/>
      </c>
      <c r="Q102" s="23">
        <f>IF(OR($P102="",$N102="",$N102=0),"",$P102/$N102)</f>
        <v/>
      </c>
      <c r="R102" s="21">
        <f>IF($P102="","",IF($P102&gt;0,"برد",IF($P102&lt;0,"باخت","سر به سر")))</f>
        <v/>
      </c>
      <c r="S102" s="22">
        <f>IF($P102="","",SUM($P$5:$P102))</f>
        <v/>
      </c>
      <c r="T102" s="24">
        <f>IF($R102="باخت",N($T101)+1,0)</f>
        <v/>
      </c>
      <c r="U102" s="22">
        <f>IF($S102="","",$S102-MAX($S$5:$S102))</f>
        <v/>
      </c>
    </row>
    <row r="103">
      <c r="A103" s="14" t="n"/>
      <c r="B103" s="15" t="n"/>
      <c r="C103" s="15" t="n"/>
      <c r="D103" s="15" t="n"/>
      <c r="E103" s="16" t="n"/>
      <c r="F103" s="16" t="n"/>
      <c r="G103" s="16" t="n"/>
      <c r="H103" s="17" t="n"/>
      <c r="I103" s="18" t="n"/>
      <c r="J103" s="18" t="n"/>
      <c r="K103" s="19" t="n"/>
      <c r="L103" s="20">
        <f>IF($B103="","",IFERROR(VLOOKUP($B103,'تنظیمات'!$A$4:$C$43,2,FALSE),1))</f>
        <v/>
      </c>
      <c r="M103" s="21">
        <f>IF($B103="","",IFERROR(VLOOKUP($B103,'تنظیمات'!$A$4:$C$43,3,FALSE),"USD"))</f>
        <v/>
      </c>
      <c r="N103" s="22">
        <f>IF(OR($E103="",$F103="",$H103="",$L103=""),"",ABS($E103-$F103)*$H103*IF($M103="BASE",$L103/$E103,$L103))</f>
        <v/>
      </c>
      <c r="O103" s="22">
        <f>IF($J103&lt;&gt;"",$J103,IF(OR($E103="",$G103="",$H103="",$L103=""),"",($G103-$E103)*IF($C103="فروش",-1,1)*$H103*IF($M103="BASE",$L103/$G103,$L103)))</f>
        <v/>
      </c>
      <c r="P103" s="22">
        <f>IF($O103="","",$O103-N($I103))</f>
        <v/>
      </c>
      <c r="Q103" s="23">
        <f>IF(OR($P103="",$N103="",$N103=0),"",$P103/$N103)</f>
        <v/>
      </c>
      <c r="R103" s="21">
        <f>IF($P103="","",IF($P103&gt;0,"برد",IF($P103&lt;0,"باخت","سر به سر")))</f>
        <v/>
      </c>
      <c r="S103" s="22">
        <f>IF($P103="","",SUM($P$5:$P103))</f>
        <v/>
      </c>
      <c r="T103" s="24">
        <f>IF($R103="باخت",N($T102)+1,0)</f>
        <v/>
      </c>
      <c r="U103" s="22">
        <f>IF($S103="","",$S103-MAX($S$5:$S103))</f>
        <v/>
      </c>
    </row>
    <row r="104">
      <c r="A104" s="14" t="n"/>
      <c r="B104" s="15" t="n"/>
      <c r="C104" s="15" t="n"/>
      <c r="D104" s="15" t="n"/>
      <c r="E104" s="16" t="n"/>
      <c r="F104" s="16" t="n"/>
      <c r="G104" s="16" t="n"/>
      <c r="H104" s="17" t="n"/>
      <c r="I104" s="18" t="n"/>
      <c r="J104" s="18" t="n"/>
      <c r="K104" s="19" t="n"/>
      <c r="L104" s="20">
        <f>IF($B104="","",IFERROR(VLOOKUP($B104,'تنظیمات'!$A$4:$C$43,2,FALSE),1))</f>
        <v/>
      </c>
      <c r="M104" s="21">
        <f>IF($B104="","",IFERROR(VLOOKUP($B104,'تنظیمات'!$A$4:$C$43,3,FALSE),"USD"))</f>
        <v/>
      </c>
      <c r="N104" s="22">
        <f>IF(OR($E104="",$F104="",$H104="",$L104=""),"",ABS($E104-$F104)*$H104*IF($M104="BASE",$L104/$E104,$L104))</f>
        <v/>
      </c>
      <c r="O104" s="22">
        <f>IF($J104&lt;&gt;"",$J104,IF(OR($E104="",$G104="",$H104="",$L104=""),"",($G104-$E104)*IF($C104="فروش",-1,1)*$H104*IF($M104="BASE",$L104/$G104,$L104)))</f>
        <v/>
      </c>
      <c r="P104" s="22">
        <f>IF($O104="","",$O104-N($I104))</f>
        <v/>
      </c>
      <c r="Q104" s="23">
        <f>IF(OR($P104="",$N104="",$N104=0),"",$P104/$N104)</f>
        <v/>
      </c>
      <c r="R104" s="21">
        <f>IF($P104="","",IF($P104&gt;0,"برد",IF($P104&lt;0,"باخت","سر به سر")))</f>
        <v/>
      </c>
      <c r="S104" s="22">
        <f>IF($P104="","",SUM($P$5:$P104))</f>
        <v/>
      </c>
      <c r="T104" s="24">
        <f>IF($R104="باخت",N($T103)+1,0)</f>
        <v/>
      </c>
      <c r="U104" s="22">
        <f>IF($S104="","",$S104-MAX($S$5:$S104))</f>
        <v/>
      </c>
    </row>
    <row r="105">
      <c r="A105" s="14" t="n"/>
      <c r="B105" s="15" t="n"/>
      <c r="C105" s="15" t="n"/>
      <c r="D105" s="15" t="n"/>
      <c r="E105" s="16" t="n"/>
      <c r="F105" s="16" t="n"/>
      <c r="G105" s="16" t="n"/>
      <c r="H105" s="17" t="n"/>
      <c r="I105" s="18" t="n"/>
      <c r="J105" s="18" t="n"/>
      <c r="K105" s="19" t="n"/>
      <c r="L105" s="20">
        <f>IF($B105="","",IFERROR(VLOOKUP($B105,'تنظیمات'!$A$4:$C$43,2,FALSE),1))</f>
        <v/>
      </c>
      <c r="M105" s="21">
        <f>IF($B105="","",IFERROR(VLOOKUP($B105,'تنظیمات'!$A$4:$C$43,3,FALSE),"USD"))</f>
        <v/>
      </c>
      <c r="N105" s="22">
        <f>IF(OR($E105="",$F105="",$H105="",$L105=""),"",ABS($E105-$F105)*$H105*IF($M105="BASE",$L105/$E105,$L105))</f>
        <v/>
      </c>
      <c r="O105" s="22">
        <f>IF($J105&lt;&gt;"",$J105,IF(OR($E105="",$G105="",$H105="",$L105=""),"",($G105-$E105)*IF($C105="فروش",-1,1)*$H105*IF($M105="BASE",$L105/$G105,$L105)))</f>
        <v/>
      </c>
      <c r="P105" s="22">
        <f>IF($O105="","",$O105-N($I105))</f>
        <v/>
      </c>
      <c r="Q105" s="23">
        <f>IF(OR($P105="",$N105="",$N105=0),"",$P105/$N105)</f>
        <v/>
      </c>
      <c r="R105" s="21">
        <f>IF($P105="","",IF($P105&gt;0,"برد",IF($P105&lt;0,"باخت","سر به سر")))</f>
        <v/>
      </c>
      <c r="S105" s="22">
        <f>IF($P105="","",SUM($P$5:$P105))</f>
        <v/>
      </c>
      <c r="T105" s="24">
        <f>IF($R105="باخت",N($T104)+1,0)</f>
        <v/>
      </c>
      <c r="U105" s="22">
        <f>IF($S105="","",$S105-MAX($S$5:$S105))</f>
        <v/>
      </c>
    </row>
    <row r="106">
      <c r="A106" s="14" t="n"/>
      <c r="B106" s="15" t="n"/>
      <c r="C106" s="15" t="n"/>
      <c r="D106" s="15" t="n"/>
      <c r="E106" s="16" t="n"/>
      <c r="F106" s="16" t="n"/>
      <c r="G106" s="16" t="n"/>
      <c r="H106" s="17" t="n"/>
      <c r="I106" s="18" t="n"/>
      <c r="J106" s="18" t="n"/>
      <c r="K106" s="19" t="n"/>
      <c r="L106" s="20">
        <f>IF($B106="","",IFERROR(VLOOKUP($B106,'تنظیمات'!$A$4:$C$43,2,FALSE),1))</f>
        <v/>
      </c>
      <c r="M106" s="21">
        <f>IF($B106="","",IFERROR(VLOOKUP($B106,'تنظیمات'!$A$4:$C$43,3,FALSE),"USD"))</f>
        <v/>
      </c>
      <c r="N106" s="22">
        <f>IF(OR($E106="",$F106="",$H106="",$L106=""),"",ABS($E106-$F106)*$H106*IF($M106="BASE",$L106/$E106,$L106))</f>
        <v/>
      </c>
      <c r="O106" s="22">
        <f>IF($J106&lt;&gt;"",$J106,IF(OR($E106="",$G106="",$H106="",$L106=""),"",($G106-$E106)*IF($C106="فروش",-1,1)*$H106*IF($M106="BASE",$L106/$G106,$L106)))</f>
        <v/>
      </c>
      <c r="P106" s="22">
        <f>IF($O106="","",$O106-N($I106))</f>
        <v/>
      </c>
      <c r="Q106" s="23">
        <f>IF(OR($P106="",$N106="",$N106=0),"",$P106/$N106)</f>
        <v/>
      </c>
      <c r="R106" s="21">
        <f>IF($P106="","",IF($P106&gt;0,"برد",IF($P106&lt;0,"باخت","سر به سر")))</f>
        <v/>
      </c>
      <c r="S106" s="22">
        <f>IF($P106="","",SUM($P$5:$P106))</f>
        <v/>
      </c>
      <c r="T106" s="24">
        <f>IF($R106="باخت",N($T105)+1,0)</f>
        <v/>
      </c>
      <c r="U106" s="22">
        <f>IF($S106="","",$S106-MAX($S$5:$S106))</f>
        <v/>
      </c>
    </row>
    <row r="107">
      <c r="A107" s="14" t="n"/>
      <c r="B107" s="15" t="n"/>
      <c r="C107" s="15" t="n"/>
      <c r="D107" s="15" t="n"/>
      <c r="E107" s="16" t="n"/>
      <c r="F107" s="16" t="n"/>
      <c r="G107" s="16" t="n"/>
      <c r="H107" s="17" t="n"/>
      <c r="I107" s="18" t="n"/>
      <c r="J107" s="18" t="n"/>
      <c r="K107" s="19" t="n"/>
      <c r="L107" s="20">
        <f>IF($B107="","",IFERROR(VLOOKUP($B107,'تنظیمات'!$A$4:$C$43,2,FALSE),1))</f>
        <v/>
      </c>
      <c r="M107" s="21">
        <f>IF($B107="","",IFERROR(VLOOKUP($B107,'تنظیمات'!$A$4:$C$43,3,FALSE),"USD"))</f>
        <v/>
      </c>
      <c r="N107" s="22">
        <f>IF(OR($E107="",$F107="",$H107="",$L107=""),"",ABS($E107-$F107)*$H107*IF($M107="BASE",$L107/$E107,$L107))</f>
        <v/>
      </c>
      <c r="O107" s="22">
        <f>IF($J107&lt;&gt;"",$J107,IF(OR($E107="",$G107="",$H107="",$L107=""),"",($G107-$E107)*IF($C107="فروش",-1,1)*$H107*IF($M107="BASE",$L107/$G107,$L107)))</f>
        <v/>
      </c>
      <c r="P107" s="22">
        <f>IF($O107="","",$O107-N($I107))</f>
        <v/>
      </c>
      <c r="Q107" s="23">
        <f>IF(OR($P107="",$N107="",$N107=0),"",$P107/$N107)</f>
        <v/>
      </c>
      <c r="R107" s="21">
        <f>IF($P107="","",IF($P107&gt;0,"برد",IF($P107&lt;0,"باخت","سر به سر")))</f>
        <v/>
      </c>
      <c r="S107" s="22">
        <f>IF($P107="","",SUM($P$5:$P107))</f>
        <v/>
      </c>
      <c r="T107" s="24">
        <f>IF($R107="باخت",N($T106)+1,0)</f>
        <v/>
      </c>
      <c r="U107" s="22">
        <f>IF($S107="","",$S107-MAX($S$5:$S107))</f>
        <v/>
      </c>
    </row>
    <row r="108">
      <c r="A108" s="14" t="n"/>
      <c r="B108" s="15" t="n"/>
      <c r="C108" s="15" t="n"/>
      <c r="D108" s="15" t="n"/>
      <c r="E108" s="16" t="n"/>
      <c r="F108" s="16" t="n"/>
      <c r="G108" s="16" t="n"/>
      <c r="H108" s="17" t="n"/>
      <c r="I108" s="18" t="n"/>
      <c r="J108" s="18" t="n"/>
      <c r="K108" s="19" t="n"/>
      <c r="L108" s="20">
        <f>IF($B108="","",IFERROR(VLOOKUP($B108,'تنظیمات'!$A$4:$C$43,2,FALSE),1))</f>
        <v/>
      </c>
      <c r="M108" s="21">
        <f>IF($B108="","",IFERROR(VLOOKUP($B108,'تنظیمات'!$A$4:$C$43,3,FALSE),"USD"))</f>
        <v/>
      </c>
      <c r="N108" s="22">
        <f>IF(OR($E108="",$F108="",$H108="",$L108=""),"",ABS($E108-$F108)*$H108*IF($M108="BASE",$L108/$E108,$L108))</f>
        <v/>
      </c>
      <c r="O108" s="22">
        <f>IF($J108&lt;&gt;"",$J108,IF(OR($E108="",$G108="",$H108="",$L108=""),"",($G108-$E108)*IF($C108="فروش",-1,1)*$H108*IF($M108="BASE",$L108/$G108,$L108)))</f>
        <v/>
      </c>
      <c r="P108" s="22">
        <f>IF($O108="","",$O108-N($I108))</f>
        <v/>
      </c>
      <c r="Q108" s="23">
        <f>IF(OR($P108="",$N108="",$N108=0),"",$P108/$N108)</f>
        <v/>
      </c>
      <c r="R108" s="21">
        <f>IF($P108="","",IF($P108&gt;0,"برد",IF($P108&lt;0,"باخت","سر به سر")))</f>
        <v/>
      </c>
      <c r="S108" s="22">
        <f>IF($P108="","",SUM($P$5:$P108))</f>
        <v/>
      </c>
      <c r="T108" s="24">
        <f>IF($R108="باخت",N($T107)+1,0)</f>
        <v/>
      </c>
      <c r="U108" s="22">
        <f>IF($S108="","",$S108-MAX($S$5:$S108))</f>
        <v/>
      </c>
    </row>
    <row r="109">
      <c r="A109" s="14" t="n"/>
      <c r="B109" s="15" t="n"/>
      <c r="C109" s="15" t="n"/>
      <c r="D109" s="15" t="n"/>
      <c r="E109" s="16" t="n"/>
      <c r="F109" s="16" t="n"/>
      <c r="G109" s="16" t="n"/>
      <c r="H109" s="17" t="n"/>
      <c r="I109" s="18" t="n"/>
      <c r="J109" s="18" t="n"/>
      <c r="K109" s="19" t="n"/>
      <c r="L109" s="20">
        <f>IF($B109="","",IFERROR(VLOOKUP($B109,'تنظیمات'!$A$4:$C$43,2,FALSE),1))</f>
        <v/>
      </c>
      <c r="M109" s="21">
        <f>IF($B109="","",IFERROR(VLOOKUP($B109,'تنظیمات'!$A$4:$C$43,3,FALSE),"USD"))</f>
        <v/>
      </c>
      <c r="N109" s="22">
        <f>IF(OR($E109="",$F109="",$H109="",$L109=""),"",ABS($E109-$F109)*$H109*IF($M109="BASE",$L109/$E109,$L109))</f>
        <v/>
      </c>
      <c r="O109" s="22">
        <f>IF($J109&lt;&gt;"",$J109,IF(OR($E109="",$G109="",$H109="",$L109=""),"",($G109-$E109)*IF($C109="فروش",-1,1)*$H109*IF($M109="BASE",$L109/$G109,$L109)))</f>
        <v/>
      </c>
      <c r="P109" s="22">
        <f>IF($O109="","",$O109-N($I109))</f>
        <v/>
      </c>
      <c r="Q109" s="23">
        <f>IF(OR($P109="",$N109="",$N109=0),"",$P109/$N109)</f>
        <v/>
      </c>
      <c r="R109" s="21">
        <f>IF($P109="","",IF($P109&gt;0,"برد",IF($P109&lt;0,"باخت","سر به سر")))</f>
        <v/>
      </c>
      <c r="S109" s="22">
        <f>IF($P109="","",SUM($P$5:$P109))</f>
        <v/>
      </c>
      <c r="T109" s="24">
        <f>IF($R109="باخت",N($T108)+1,0)</f>
        <v/>
      </c>
      <c r="U109" s="22">
        <f>IF($S109="","",$S109-MAX($S$5:$S109))</f>
        <v/>
      </c>
    </row>
    <row r="110">
      <c r="A110" s="14" t="n"/>
      <c r="B110" s="15" t="n"/>
      <c r="C110" s="15" t="n"/>
      <c r="D110" s="15" t="n"/>
      <c r="E110" s="16" t="n"/>
      <c r="F110" s="16" t="n"/>
      <c r="G110" s="16" t="n"/>
      <c r="H110" s="17" t="n"/>
      <c r="I110" s="18" t="n"/>
      <c r="J110" s="18" t="n"/>
      <c r="K110" s="19" t="n"/>
      <c r="L110" s="20">
        <f>IF($B110="","",IFERROR(VLOOKUP($B110,'تنظیمات'!$A$4:$C$43,2,FALSE),1))</f>
        <v/>
      </c>
      <c r="M110" s="21">
        <f>IF($B110="","",IFERROR(VLOOKUP($B110,'تنظیمات'!$A$4:$C$43,3,FALSE),"USD"))</f>
        <v/>
      </c>
      <c r="N110" s="22">
        <f>IF(OR($E110="",$F110="",$H110="",$L110=""),"",ABS($E110-$F110)*$H110*IF($M110="BASE",$L110/$E110,$L110))</f>
        <v/>
      </c>
      <c r="O110" s="22">
        <f>IF($J110&lt;&gt;"",$J110,IF(OR($E110="",$G110="",$H110="",$L110=""),"",($G110-$E110)*IF($C110="فروش",-1,1)*$H110*IF($M110="BASE",$L110/$G110,$L110)))</f>
        <v/>
      </c>
      <c r="P110" s="22">
        <f>IF($O110="","",$O110-N($I110))</f>
        <v/>
      </c>
      <c r="Q110" s="23">
        <f>IF(OR($P110="",$N110="",$N110=0),"",$P110/$N110)</f>
        <v/>
      </c>
      <c r="R110" s="21">
        <f>IF($P110="","",IF($P110&gt;0,"برد",IF($P110&lt;0,"باخت","سر به سر")))</f>
        <v/>
      </c>
      <c r="S110" s="22">
        <f>IF($P110="","",SUM($P$5:$P110))</f>
        <v/>
      </c>
      <c r="T110" s="24">
        <f>IF($R110="باخت",N($T109)+1,0)</f>
        <v/>
      </c>
      <c r="U110" s="22">
        <f>IF($S110="","",$S110-MAX($S$5:$S110))</f>
        <v/>
      </c>
    </row>
    <row r="111">
      <c r="A111" s="14" t="n"/>
      <c r="B111" s="15" t="n"/>
      <c r="C111" s="15" t="n"/>
      <c r="D111" s="15" t="n"/>
      <c r="E111" s="16" t="n"/>
      <c r="F111" s="16" t="n"/>
      <c r="G111" s="16" t="n"/>
      <c r="H111" s="17" t="n"/>
      <c r="I111" s="18" t="n"/>
      <c r="J111" s="18" t="n"/>
      <c r="K111" s="19" t="n"/>
      <c r="L111" s="20">
        <f>IF($B111="","",IFERROR(VLOOKUP($B111,'تنظیمات'!$A$4:$C$43,2,FALSE),1))</f>
        <v/>
      </c>
      <c r="M111" s="21">
        <f>IF($B111="","",IFERROR(VLOOKUP($B111,'تنظیمات'!$A$4:$C$43,3,FALSE),"USD"))</f>
        <v/>
      </c>
      <c r="N111" s="22">
        <f>IF(OR($E111="",$F111="",$H111="",$L111=""),"",ABS($E111-$F111)*$H111*IF($M111="BASE",$L111/$E111,$L111))</f>
        <v/>
      </c>
      <c r="O111" s="22">
        <f>IF($J111&lt;&gt;"",$J111,IF(OR($E111="",$G111="",$H111="",$L111=""),"",($G111-$E111)*IF($C111="فروش",-1,1)*$H111*IF($M111="BASE",$L111/$G111,$L111)))</f>
        <v/>
      </c>
      <c r="P111" s="22">
        <f>IF($O111="","",$O111-N($I111))</f>
        <v/>
      </c>
      <c r="Q111" s="23">
        <f>IF(OR($P111="",$N111="",$N111=0),"",$P111/$N111)</f>
        <v/>
      </c>
      <c r="R111" s="21">
        <f>IF($P111="","",IF($P111&gt;0,"برد",IF($P111&lt;0,"باخت","سر به سر")))</f>
        <v/>
      </c>
      <c r="S111" s="22">
        <f>IF($P111="","",SUM($P$5:$P111))</f>
        <v/>
      </c>
      <c r="T111" s="24">
        <f>IF($R111="باخت",N($T110)+1,0)</f>
        <v/>
      </c>
      <c r="U111" s="22">
        <f>IF($S111="","",$S111-MAX($S$5:$S111))</f>
        <v/>
      </c>
    </row>
    <row r="112">
      <c r="A112" s="14" t="n"/>
      <c r="B112" s="15" t="n"/>
      <c r="C112" s="15" t="n"/>
      <c r="D112" s="15" t="n"/>
      <c r="E112" s="16" t="n"/>
      <c r="F112" s="16" t="n"/>
      <c r="G112" s="16" t="n"/>
      <c r="H112" s="17" t="n"/>
      <c r="I112" s="18" t="n"/>
      <c r="J112" s="18" t="n"/>
      <c r="K112" s="19" t="n"/>
      <c r="L112" s="20">
        <f>IF($B112="","",IFERROR(VLOOKUP($B112,'تنظیمات'!$A$4:$C$43,2,FALSE),1))</f>
        <v/>
      </c>
      <c r="M112" s="21">
        <f>IF($B112="","",IFERROR(VLOOKUP($B112,'تنظیمات'!$A$4:$C$43,3,FALSE),"USD"))</f>
        <v/>
      </c>
      <c r="N112" s="22">
        <f>IF(OR($E112="",$F112="",$H112="",$L112=""),"",ABS($E112-$F112)*$H112*IF($M112="BASE",$L112/$E112,$L112))</f>
        <v/>
      </c>
      <c r="O112" s="22">
        <f>IF($J112&lt;&gt;"",$J112,IF(OR($E112="",$G112="",$H112="",$L112=""),"",($G112-$E112)*IF($C112="فروش",-1,1)*$H112*IF($M112="BASE",$L112/$G112,$L112)))</f>
        <v/>
      </c>
      <c r="P112" s="22">
        <f>IF($O112="","",$O112-N($I112))</f>
        <v/>
      </c>
      <c r="Q112" s="23">
        <f>IF(OR($P112="",$N112="",$N112=0),"",$P112/$N112)</f>
        <v/>
      </c>
      <c r="R112" s="21">
        <f>IF($P112="","",IF($P112&gt;0,"برد",IF($P112&lt;0,"باخت","سر به سر")))</f>
        <v/>
      </c>
      <c r="S112" s="22">
        <f>IF($P112="","",SUM($P$5:$P112))</f>
        <v/>
      </c>
      <c r="T112" s="24">
        <f>IF($R112="باخت",N($T111)+1,0)</f>
        <v/>
      </c>
      <c r="U112" s="22">
        <f>IF($S112="","",$S112-MAX($S$5:$S112))</f>
        <v/>
      </c>
    </row>
    <row r="113">
      <c r="A113" s="14" t="n"/>
      <c r="B113" s="15" t="n"/>
      <c r="C113" s="15" t="n"/>
      <c r="D113" s="15" t="n"/>
      <c r="E113" s="16" t="n"/>
      <c r="F113" s="16" t="n"/>
      <c r="G113" s="16" t="n"/>
      <c r="H113" s="17" t="n"/>
      <c r="I113" s="18" t="n"/>
      <c r="J113" s="18" t="n"/>
      <c r="K113" s="19" t="n"/>
      <c r="L113" s="20">
        <f>IF($B113="","",IFERROR(VLOOKUP($B113,'تنظیمات'!$A$4:$C$43,2,FALSE),1))</f>
        <v/>
      </c>
      <c r="M113" s="21">
        <f>IF($B113="","",IFERROR(VLOOKUP($B113,'تنظیمات'!$A$4:$C$43,3,FALSE),"USD"))</f>
        <v/>
      </c>
      <c r="N113" s="22">
        <f>IF(OR($E113="",$F113="",$H113="",$L113=""),"",ABS($E113-$F113)*$H113*IF($M113="BASE",$L113/$E113,$L113))</f>
        <v/>
      </c>
      <c r="O113" s="22">
        <f>IF($J113&lt;&gt;"",$J113,IF(OR($E113="",$G113="",$H113="",$L113=""),"",($G113-$E113)*IF($C113="فروش",-1,1)*$H113*IF($M113="BASE",$L113/$G113,$L113)))</f>
        <v/>
      </c>
      <c r="P113" s="22">
        <f>IF($O113="","",$O113-N($I113))</f>
        <v/>
      </c>
      <c r="Q113" s="23">
        <f>IF(OR($P113="",$N113="",$N113=0),"",$P113/$N113)</f>
        <v/>
      </c>
      <c r="R113" s="21">
        <f>IF($P113="","",IF($P113&gt;0,"برد",IF($P113&lt;0,"باخت","سر به سر")))</f>
        <v/>
      </c>
      <c r="S113" s="22">
        <f>IF($P113="","",SUM($P$5:$P113))</f>
        <v/>
      </c>
      <c r="T113" s="24">
        <f>IF($R113="باخت",N($T112)+1,0)</f>
        <v/>
      </c>
      <c r="U113" s="22">
        <f>IF($S113="","",$S113-MAX($S$5:$S113))</f>
        <v/>
      </c>
    </row>
    <row r="114">
      <c r="A114" s="14" t="n"/>
      <c r="B114" s="15" t="n"/>
      <c r="C114" s="15" t="n"/>
      <c r="D114" s="15" t="n"/>
      <c r="E114" s="16" t="n"/>
      <c r="F114" s="16" t="n"/>
      <c r="G114" s="16" t="n"/>
      <c r="H114" s="17" t="n"/>
      <c r="I114" s="18" t="n"/>
      <c r="J114" s="18" t="n"/>
      <c r="K114" s="19" t="n"/>
      <c r="L114" s="20">
        <f>IF($B114="","",IFERROR(VLOOKUP($B114,'تنظیمات'!$A$4:$C$43,2,FALSE),1))</f>
        <v/>
      </c>
      <c r="M114" s="21">
        <f>IF($B114="","",IFERROR(VLOOKUP($B114,'تنظیمات'!$A$4:$C$43,3,FALSE),"USD"))</f>
        <v/>
      </c>
      <c r="N114" s="22">
        <f>IF(OR($E114="",$F114="",$H114="",$L114=""),"",ABS($E114-$F114)*$H114*IF($M114="BASE",$L114/$E114,$L114))</f>
        <v/>
      </c>
      <c r="O114" s="22">
        <f>IF($J114&lt;&gt;"",$J114,IF(OR($E114="",$G114="",$H114="",$L114=""),"",($G114-$E114)*IF($C114="فروش",-1,1)*$H114*IF($M114="BASE",$L114/$G114,$L114)))</f>
        <v/>
      </c>
      <c r="P114" s="22">
        <f>IF($O114="","",$O114-N($I114))</f>
        <v/>
      </c>
      <c r="Q114" s="23">
        <f>IF(OR($P114="",$N114="",$N114=0),"",$P114/$N114)</f>
        <v/>
      </c>
      <c r="R114" s="21">
        <f>IF($P114="","",IF($P114&gt;0,"برد",IF($P114&lt;0,"باخت","سر به سر")))</f>
        <v/>
      </c>
      <c r="S114" s="22">
        <f>IF($P114="","",SUM($P$5:$P114))</f>
        <v/>
      </c>
      <c r="T114" s="24">
        <f>IF($R114="باخت",N($T113)+1,0)</f>
        <v/>
      </c>
      <c r="U114" s="22">
        <f>IF($S114="","",$S114-MAX($S$5:$S114))</f>
        <v/>
      </c>
    </row>
    <row r="115">
      <c r="A115" s="14" t="n"/>
      <c r="B115" s="15" t="n"/>
      <c r="C115" s="15" t="n"/>
      <c r="D115" s="15" t="n"/>
      <c r="E115" s="16" t="n"/>
      <c r="F115" s="16" t="n"/>
      <c r="G115" s="16" t="n"/>
      <c r="H115" s="17" t="n"/>
      <c r="I115" s="18" t="n"/>
      <c r="J115" s="18" t="n"/>
      <c r="K115" s="19" t="n"/>
      <c r="L115" s="20">
        <f>IF($B115="","",IFERROR(VLOOKUP($B115,'تنظیمات'!$A$4:$C$43,2,FALSE),1))</f>
        <v/>
      </c>
      <c r="M115" s="21">
        <f>IF($B115="","",IFERROR(VLOOKUP($B115,'تنظیمات'!$A$4:$C$43,3,FALSE),"USD"))</f>
        <v/>
      </c>
      <c r="N115" s="22">
        <f>IF(OR($E115="",$F115="",$H115="",$L115=""),"",ABS($E115-$F115)*$H115*IF($M115="BASE",$L115/$E115,$L115))</f>
        <v/>
      </c>
      <c r="O115" s="22">
        <f>IF($J115&lt;&gt;"",$J115,IF(OR($E115="",$G115="",$H115="",$L115=""),"",($G115-$E115)*IF($C115="فروش",-1,1)*$H115*IF($M115="BASE",$L115/$G115,$L115)))</f>
        <v/>
      </c>
      <c r="P115" s="22">
        <f>IF($O115="","",$O115-N($I115))</f>
        <v/>
      </c>
      <c r="Q115" s="23">
        <f>IF(OR($P115="",$N115="",$N115=0),"",$P115/$N115)</f>
        <v/>
      </c>
      <c r="R115" s="21">
        <f>IF($P115="","",IF($P115&gt;0,"برد",IF($P115&lt;0,"باخت","سر به سر")))</f>
        <v/>
      </c>
      <c r="S115" s="22">
        <f>IF($P115="","",SUM($P$5:$P115))</f>
        <v/>
      </c>
      <c r="T115" s="24">
        <f>IF($R115="باخت",N($T114)+1,0)</f>
        <v/>
      </c>
      <c r="U115" s="22">
        <f>IF($S115="","",$S115-MAX($S$5:$S115))</f>
        <v/>
      </c>
    </row>
    <row r="116">
      <c r="A116" s="14" t="n"/>
      <c r="B116" s="15" t="n"/>
      <c r="C116" s="15" t="n"/>
      <c r="D116" s="15" t="n"/>
      <c r="E116" s="16" t="n"/>
      <c r="F116" s="16" t="n"/>
      <c r="G116" s="16" t="n"/>
      <c r="H116" s="17" t="n"/>
      <c r="I116" s="18" t="n"/>
      <c r="J116" s="18" t="n"/>
      <c r="K116" s="19" t="n"/>
      <c r="L116" s="20">
        <f>IF($B116="","",IFERROR(VLOOKUP($B116,'تنظیمات'!$A$4:$C$43,2,FALSE),1))</f>
        <v/>
      </c>
      <c r="M116" s="21">
        <f>IF($B116="","",IFERROR(VLOOKUP($B116,'تنظیمات'!$A$4:$C$43,3,FALSE),"USD"))</f>
        <v/>
      </c>
      <c r="N116" s="22">
        <f>IF(OR($E116="",$F116="",$H116="",$L116=""),"",ABS($E116-$F116)*$H116*IF($M116="BASE",$L116/$E116,$L116))</f>
        <v/>
      </c>
      <c r="O116" s="22">
        <f>IF($J116&lt;&gt;"",$J116,IF(OR($E116="",$G116="",$H116="",$L116=""),"",($G116-$E116)*IF($C116="فروش",-1,1)*$H116*IF($M116="BASE",$L116/$G116,$L116)))</f>
        <v/>
      </c>
      <c r="P116" s="22">
        <f>IF($O116="","",$O116-N($I116))</f>
        <v/>
      </c>
      <c r="Q116" s="23">
        <f>IF(OR($P116="",$N116="",$N116=0),"",$P116/$N116)</f>
        <v/>
      </c>
      <c r="R116" s="21">
        <f>IF($P116="","",IF($P116&gt;0,"برد",IF($P116&lt;0,"باخت","سر به سر")))</f>
        <v/>
      </c>
      <c r="S116" s="22">
        <f>IF($P116="","",SUM($P$5:$P116))</f>
        <v/>
      </c>
      <c r="T116" s="24">
        <f>IF($R116="باخت",N($T115)+1,0)</f>
        <v/>
      </c>
      <c r="U116" s="22">
        <f>IF($S116="","",$S116-MAX($S$5:$S116))</f>
        <v/>
      </c>
    </row>
    <row r="117">
      <c r="A117" s="14" t="n"/>
      <c r="B117" s="15" t="n"/>
      <c r="C117" s="15" t="n"/>
      <c r="D117" s="15" t="n"/>
      <c r="E117" s="16" t="n"/>
      <c r="F117" s="16" t="n"/>
      <c r="G117" s="16" t="n"/>
      <c r="H117" s="17" t="n"/>
      <c r="I117" s="18" t="n"/>
      <c r="J117" s="18" t="n"/>
      <c r="K117" s="19" t="n"/>
      <c r="L117" s="20">
        <f>IF($B117="","",IFERROR(VLOOKUP($B117,'تنظیمات'!$A$4:$C$43,2,FALSE),1))</f>
        <v/>
      </c>
      <c r="M117" s="21">
        <f>IF($B117="","",IFERROR(VLOOKUP($B117,'تنظیمات'!$A$4:$C$43,3,FALSE),"USD"))</f>
        <v/>
      </c>
      <c r="N117" s="22">
        <f>IF(OR($E117="",$F117="",$H117="",$L117=""),"",ABS($E117-$F117)*$H117*IF($M117="BASE",$L117/$E117,$L117))</f>
        <v/>
      </c>
      <c r="O117" s="22">
        <f>IF($J117&lt;&gt;"",$J117,IF(OR($E117="",$G117="",$H117="",$L117=""),"",($G117-$E117)*IF($C117="فروش",-1,1)*$H117*IF($M117="BASE",$L117/$G117,$L117)))</f>
        <v/>
      </c>
      <c r="P117" s="22">
        <f>IF($O117="","",$O117-N($I117))</f>
        <v/>
      </c>
      <c r="Q117" s="23">
        <f>IF(OR($P117="",$N117="",$N117=0),"",$P117/$N117)</f>
        <v/>
      </c>
      <c r="R117" s="21">
        <f>IF($P117="","",IF($P117&gt;0,"برد",IF($P117&lt;0,"باخت","سر به سر")))</f>
        <v/>
      </c>
      <c r="S117" s="22">
        <f>IF($P117="","",SUM($P$5:$P117))</f>
        <v/>
      </c>
      <c r="T117" s="24">
        <f>IF($R117="باخت",N($T116)+1,0)</f>
        <v/>
      </c>
      <c r="U117" s="22">
        <f>IF($S117="","",$S117-MAX($S$5:$S117))</f>
        <v/>
      </c>
    </row>
    <row r="118">
      <c r="A118" s="14" t="n"/>
      <c r="B118" s="15" t="n"/>
      <c r="C118" s="15" t="n"/>
      <c r="D118" s="15" t="n"/>
      <c r="E118" s="16" t="n"/>
      <c r="F118" s="16" t="n"/>
      <c r="G118" s="16" t="n"/>
      <c r="H118" s="17" t="n"/>
      <c r="I118" s="18" t="n"/>
      <c r="J118" s="18" t="n"/>
      <c r="K118" s="19" t="n"/>
      <c r="L118" s="20">
        <f>IF($B118="","",IFERROR(VLOOKUP($B118,'تنظیمات'!$A$4:$C$43,2,FALSE),1))</f>
        <v/>
      </c>
      <c r="M118" s="21">
        <f>IF($B118="","",IFERROR(VLOOKUP($B118,'تنظیمات'!$A$4:$C$43,3,FALSE),"USD"))</f>
        <v/>
      </c>
      <c r="N118" s="22">
        <f>IF(OR($E118="",$F118="",$H118="",$L118=""),"",ABS($E118-$F118)*$H118*IF($M118="BASE",$L118/$E118,$L118))</f>
        <v/>
      </c>
      <c r="O118" s="22">
        <f>IF($J118&lt;&gt;"",$J118,IF(OR($E118="",$G118="",$H118="",$L118=""),"",($G118-$E118)*IF($C118="فروش",-1,1)*$H118*IF($M118="BASE",$L118/$G118,$L118)))</f>
        <v/>
      </c>
      <c r="P118" s="22">
        <f>IF($O118="","",$O118-N($I118))</f>
        <v/>
      </c>
      <c r="Q118" s="23">
        <f>IF(OR($P118="",$N118="",$N118=0),"",$P118/$N118)</f>
        <v/>
      </c>
      <c r="R118" s="21">
        <f>IF($P118="","",IF($P118&gt;0,"برد",IF($P118&lt;0,"باخت","سر به سر")))</f>
        <v/>
      </c>
      <c r="S118" s="22">
        <f>IF($P118="","",SUM($P$5:$P118))</f>
        <v/>
      </c>
      <c r="T118" s="24">
        <f>IF($R118="باخت",N($T117)+1,0)</f>
        <v/>
      </c>
      <c r="U118" s="22">
        <f>IF($S118="","",$S118-MAX($S$5:$S118))</f>
        <v/>
      </c>
    </row>
    <row r="119">
      <c r="A119" s="14" t="n"/>
      <c r="B119" s="15" t="n"/>
      <c r="C119" s="15" t="n"/>
      <c r="D119" s="15" t="n"/>
      <c r="E119" s="16" t="n"/>
      <c r="F119" s="16" t="n"/>
      <c r="G119" s="16" t="n"/>
      <c r="H119" s="17" t="n"/>
      <c r="I119" s="18" t="n"/>
      <c r="J119" s="18" t="n"/>
      <c r="K119" s="19" t="n"/>
      <c r="L119" s="20">
        <f>IF($B119="","",IFERROR(VLOOKUP($B119,'تنظیمات'!$A$4:$C$43,2,FALSE),1))</f>
        <v/>
      </c>
      <c r="M119" s="21">
        <f>IF($B119="","",IFERROR(VLOOKUP($B119,'تنظیمات'!$A$4:$C$43,3,FALSE),"USD"))</f>
        <v/>
      </c>
      <c r="N119" s="22">
        <f>IF(OR($E119="",$F119="",$H119="",$L119=""),"",ABS($E119-$F119)*$H119*IF($M119="BASE",$L119/$E119,$L119))</f>
        <v/>
      </c>
      <c r="O119" s="22">
        <f>IF($J119&lt;&gt;"",$J119,IF(OR($E119="",$G119="",$H119="",$L119=""),"",($G119-$E119)*IF($C119="فروش",-1,1)*$H119*IF($M119="BASE",$L119/$G119,$L119)))</f>
        <v/>
      </c>
      <c r="P119" s="22">
        <f>IF($O119="","",$O119-N($I119))</f>
        <v/>
      </c>
      <c r="Q119" s="23">
        <f>IF(OR($P119="",$N119="",$N119=0),"",$P119/$N119)</f>
        <v/>
      </c>
      <c r="R119" s="21">
        <f>IF($P119="","",IF($P119&gt;0,"برد",IF($P119&lt;0,"باخت","سر به سر")))</f>
        <v/>
      </c>
      <c r="S119" s="22">
        <f>IF($P119="","",SUM($P$5:$P119))</f>
        <v/>
      </c>
      <c r="T119" s="24">
        <f>IF($R119="باخت",N($T118)+1,0)</f>
        <v/>
      </c>
      <c r="U119" s="22">
        <f>IF($S119="","",$S119-MAX($S$5:$S119))</f>
        <v/>
      </c>
    </row>
    <row r="120">
      <c r="A120" s="14" t="n"/>
      <c r="B120" s="15" t="n"/>
      <c r="C120" s="15" t="n"/>
      <c r="D120" s="15" t="n"/>
      <c r="E120" s="16" t="n"/>
      <c r="F120" s="16" t="n"/>
      <c r="G120" s="16" t="n"/>
      <c r="H120" s="17" t="n"/>
      <c r="I120" s="18" t="n"/>
      <c r="J120" s="18" t="n"/>
      <c r="K120" s="19" t="n"/>
      <c r="L120" s="20">
        <f>IF($B120="","",IFERROR(VLOOKUP($B120,'تنظیمات'!$A$4:$C$43,2,FALSE),1))</f>
        <v/>
      </c>
      <c r="M120" s="21">
        <f>IF($B120="","",IFERROR(VLOOKUP($B120,'تنظیمات'!$A$4:$C$43,3,FALSE),"USD"))</f>
        <v/>
      </c>
      <c r="N120" s="22">
        <f>IF(OR($E120="",$F120="",$H120="",$L120=""),"",ABS($E120-$F120)*$H120*IF($M120="BASE",$L120/$E120,$L120))</f>
        <v/>
      </c>
      <c r="O120" s="22">
        <f>IF($J120&lt;&gt;"",$J120,IF(OR($E120="",$G120="",$H120="",$L120=""),"",($G120-$E120)*IF($C120="فروش",-1,1)*$H120*IF($M120="BASE",$L120/$G120,$L120)))</f>
        <v/>
      </c>
      <c r="P120" s="22">
        <f>IF($O120="","",$O120-N($I120))</f>
        <v/>
      </c>
      <c r="Q120" s="23">
        <f>IF(OR($P120="",$N120="",$N120=0),"",$P120/$N120)</f>
        <v/>
      </c>
      <c r="R120" s="21">
        <f>IF($P120="","",IF($P120&gt;0,"برد",IF($P120&lt;0,"باخت","سر به سر")))</f>
        <v/>
      </c>
      <c r="S120" s="22">
        <f>IF($P120="","",SUM($P$5:$P120))</f>
        <v/>
      </c>
      <c r="T120" s="24">
        <f>IF($R120="باخت",N($T119)+1,0)</f>
        <v/>
      </c>
      <c r="U120" s="22">
        <f>IF($S120="","",$S120-MAX($S$5:$S120))</f>
        <v/>
      </c>
    </row>
    <row r="121">
      <c r="A121" s="14" t="n"/>
      <c r="B121" s="15" t="n"/>
      <c r="C121" s="15" t="n"/>
      <c r="D121" s="15" t="n"/>
      <c r="E121" s="16" t="n"/>
      <c r="F121" s="16" t="n"/>
      <c r="G121" s="16" t="n"/>
      <c r="H121" s="17" t="n"/>
      <c r="I121" s="18" t="n"/>
      <c r="J121" s="18" t="n"/>
      <c r="K121" s="19" t="n"/>
      <c r="L121" s="20">
        <f>IF($B121="","",IFERROR(VLOOKUP($B121,'تنظیمات'!$A$4:$C$43,2,FALSE),1))</f>
        <v/>
      </c>
      <c r="M121" s="21">
        <f>IF($B121="","",IFERROR(VLOOKUP($B121,'تنظیمات'!$A$4:$C$43,3,FALSE),"USD"))</f>
        <v/>
      </c>
      <c r="N121" s="22">
        <f>IF(OR($E121="",$F121="",$H121="",$L121=""),"",ABS($E121-$F121)*$H121*IF($M121="BASE",$L121/$E121,$L121))</f>
        <v/>
      </c>
      <c r="O121" s="22">
        <f>IF($J121&lt;&gt;"",$J121,IF(OR($E121="",$G121="",$H121="",$L121=""),"",($G121-$E121)*IF($C121="فروش",-1,1)*$H121*IF($M121="BASE",$L121/$G121,$L121)))</f>
        <v/>
      </c>
      <c r="P121" s="22">
        <f>IF($O121="","",$O121-N($I121))</f>
        <v/>
      </c>
      <c r="Q121" s="23">
        <f>IF(OR($P121="",$N121="",$N121=0),"",$P121/$N121)</f>
        <v/>
      </c>
      <c r="R121" s="21">
        <f>IF($P121="","",IF($P121&gt;0,"برد",IF($P121&lt;0,"باخت","سر به سر")))</f>
        <v/>
      </c>
      <c r="S121" s="22">
        <f>IF($P121="","",SUM($P$5:$P121))</f>
        <v/>
      </c>
      <c r="T121" s="24">
        <f>IF($R121="باخت",N($T120)+1,0)</f>
        <v/>
      </c>
      <c r="U121" s="22">
        <f>IF($S121="","",$S121-MAX($S$5:$S121))</f>
        <v/>
      </c>
    </row>
    <row r="122">
      <c r="A122" s="14" t="n"/>
      <c r="B122" s="15" t="n"/>
      <c r="C122" s="15" t="n"/>
      <c r="D122" s="15" t="n"/>
      <c r="E122" s="16" t="n"/>
      <c r="F122" s="16" t="n"/>
      <c r="G122" s="16" t="n"/>
      <c r="H122" s="17" t="n"/>
      <c r="I122" s="18" t="n"/>
      <c r="J122" s="18" t="n"/>
      <c r="K122" s="19" t="n"/>
      <c r="L122" s="20">
        <f>IF($B122="","",IFERROR(VLOOKUP($B122,'تنظیمات'!$A$4:$C$43,2,FALSE),1))</f>
        <v/>
      </c>
      <c r="M122" s="21">
        <f>IF($B122="","",IFERROR(VLOOKUP($B122,'تنظیمات'!$A$4:$C$43,3,FALSE),"USD"))</f>
        <v/>
      </c>
      <c r="N122" s="22">
        <f>IF(OR($E122="",$F122="",$H122="",$L122=""),"",ABS($E122-$F122)*$H122*IF($M122="BASE",$L122/$E122,$L122))</f>
        <v/>
      </c>
      <c r="O122" s="22">
        <f>IF($J122&lt;&gt;"",$J122,IF(OR($E122="",$G122="",$H122="",$L122=""),"",($G122-$E122)*IF($C122="فروش",-1,1)*$H122*IF($M122="BASE",$L122/$G122,$L122)))</f>
        <v/>
      </c>
      <c r="P122" s="22">
        <f>IF($O122="","",$O122-N($I122))</f>
        <v/>
      </c>
      <c r="Q122" s="23">
        <f>IF(OR($P122="",$N122="",$N122=0),"",$P122/$N122)</f>
        <v/>
      </c>
      <c r="R122" s="21">
        <f>IF($P122="","",IF($P122&gt;0,"برد",IF($P122&lt;0,"باخت","سر به سر")))</f>
        <v/>
      </c>
      <c r="S122" s="22">
        <f>IF($P122="","",SUM($P$5:$P122))</f>
        <v/>
      </c>
      <c r="T122" s="24">
        <f>IF($R122="باخت",N($T121)+1,0)</f>
        <v/>
      </c>
      <c r="U122" s="22">
        <f>IF($S122="","",$S122-MAX($S$5:$S122))</f>
        <v/>
      </c>
    </row>
    <row r="123">
      <c r="A123" s="14" t="n"/>
      <c r="B123" s="15" t="n"/>
      <c r="C123" s="15" t="n"/>
      <c r="D123" s="15" t="n"/>
      <c r="E123" s="16" t="n"/>
      <c r="F123" s="16" t="n"/>
      <c r="G123" s="16" t="n"/>
      <c r="H123" s="17" t="n"/>
      <c r="I123" s="18" t="n"/>
      <c r="J123" s="18" t="n"/>
      <c r="K123" s="19" t="n"/>
      <c r="L123" s="20">
        <f>IF($B123="","",IFERROR(VLOOKUP($B123,'تنظیمات'!$A$4:$C$43,2,FALSE),1))</f>
        <v/>
      </c>
      <c r="M123" s="21">
        <f>IF($B123="","",IFERROR(VLOOKUP($B123,'تنظیمات'!$A$4:$C$43,3,FALSE),"USD"))</f>
        <v/>
      </c>
      <c r="N123" s="22">
        <f>IF(OR($E123="",$F123="",$H123="",$L123=""),"",ABS($E123-$F123)*$H123*IF($M123="BASE",$L123/$E123,$L123))</f>
        <v/>
      </c>
      <c r="O123" s="22">
        <f>IF($J123&lt;&gt;"",$J123,IF(OR($E123="",$G123="",$H123="",$L123=""),"",($G123-$E123)*IF($C123="فروش",-1,1)*$H123*IF($M123="BASE",$L123/$G123,$L123)))</f>
        <v/>
      </c>
      <c r="P123" s="22">
        <f>IF($O123="","",$O123-N($I123))</f>
        <v/>
      </c>
      <c r="Q123" s="23">
        <f>IF(OR($P123="",$N123="",$N123=0),"",$P123/$N123)</f>
        <v/>
      </c>
      <c r="R123" s="21">
        <f>IF($P123="","",IF($P123&gt;0,"برد",IF($P123&lt;0,"باخت","سر به سر")))</f>
        <v/>
      </c>
      <c r="S123" s="22">
        <f>IF($P123="","",SUM($P$5:$P123))</f>
        <v/>
      </c>
      <c r="T123" s="24">
        <f>IF($R123="باخت",N($T122)+1,0)</f>
        <v/>
      </c>
      <c r="U123" s="22">
        <f>IF($S123="","",$S123-MAX($S$5:$S123))</f>
        <v/>
      </c>
    </row>
    <row r="124">
      <c r="A124" s="14" t="n"/>
      <c r="B124" s="15" t="n"/>
      <c r="C124" s="15" t="n"/>
      <c r="D124" s="15" t="n"/>
      <c r="E124" s="16" t="n"/>
      <c r="F124" s="16" t="n"/>
      <c r="G124" s="16" t="n"/>
      <c r="H124" s="17" t="n"/>
      <c r="I124" s="18" t="n"/>
      <c r="J124" s="18" t="n"/>
      <c r="K124" s="19" t="n"/>
      <c r="L124" s="20">
        <f>IF($B124="","",IFERROR(VLOOKUP($B124,'تنظیمات'!$A$4:$C$43,2,FALSE),1))</f>
        <v/>
      </c>
      <c r="M124" s="21">
        <f>IF($B124="","",IFERROR(VLOOKUP($B124,'تنظیمات'!$A$4:$C$43,3,FALSE),"USD"))</f>
        <v/>
      </c>
      <c r="N124" s="22">
        <f>IF(OR($E124="",$F124="",$H124="",$L124=""),"",ABS($E124-$F124)*$H124*IF($M124="BASE",$L124/$E124,$L124))</f>
        <v/>
      </c>
      <c r="O124" s="22">
        <f>IF($J124&lt;&gt;"",$J124,IF(OR($E124="",$G124="",$H124="",$L124=""),"",($G124-$E124)*IF($C124="فروش",-1,1)*$H124*IF($M124="BASE",$L124/$G124,$L124)))</f>
        <v/>
      </c>
      <c r="P124" s="22">
        <f>IF($O124="","",$O124-N($I124))</f>
        <v/>
      </c>
      <c r="Q124" s="23">
        <f>IF(OR($P124="",$N124="",$N124=0),"",$P124/$N124)</f>
        <v/>
      </c>
      <c r="R124" s="21">
        <f>IF($P124="","",IF($P124&gt;0,"برد",IF($P124&lt;0,"باخت","سر به سر")))</f>
        <v/>
      </c>
      <c r="S124" s="22">
        <f>IF($P124="","",SUM($P$5:$P124))</f>
        <v/>
      </c>
      <c r="T124" s="24">
        <f>IF($R124="باخت",N($T123)+1,0)</f>
        <v/>
      </c>
      <c r="U124" s="22">
        <f>IF($S124="","",$S124-MAX($S$5:$S124))</f>
        <v/>
      </c>
    </row>
    <row r="125">
      <c r="A125" s="14" t="n"/>
      <c r="B125" s="15" t="n"/>
      <c r="C125" s="15" t="n"/>
      <c r="D125" s="15" t="n"/>
      <c r="E125" s="16" t="n"/>
      <c r="F125" s="16" t="n"/>
      <c r="G125" s="16" t="n"/>
      <c r="H125" s="17" t="n"/>
      <c r="I125" s="18" t="n"/>
      <c r="J125" s="18" t="n"/>
      <c r="K125" s="19" t="n"/>
      <c r="L125" s="20">
        <f>IF($B125="","",IFERROR(VLOOKUP($B125,'تنظیمات'!$A$4:$C$43,2,FALSE),1))</f>
        <v/>
      </c>
      <c r="M125" s="21">
        <f>IF($B125="","",IFERROR(VLOOKUP($B125,'تنظیمات'!$A$4:$C$43,3,FALSE),"USD"))</f>
        <v/>
      </c>
      <c r="N125" s="22">
        <f>IF(OR($E125="",$F125="",$H125="",$L125=""),"",ABS($E125-$F125)*$H125*IF($M125="BASE",$L125/$E125,$L125))</f>
        <v/>
      </c>
      <c r="O125" s="22">
        <f>IF($J125&lt;&gt;"",$J125,IF(OR($E125="",$G125="",$H125="",$L125=""),"",($G125-$E125)*IF($C125="فروش",-1,1)*$H125*IF($M125="BASE",$L125/$G125,$L125)))</f>
        <v/>
      </c>
      <c r="P125" s="22">
        <f>IF($O125="","",$O125-N($I125))</f>
        <v/>
      </c>
      <c r="Q125" s="23">
        <f>IF(OR($P125="",$N125="",$N125=0),"",$P125/$N125)</f>
        <v/>
      </c>
      <c r="R125" s="21">
        <f>IF($P125="","",IF($P125&gt;0,"برد",IF($P125&lt;0,"باخت","سر به سر")))</f>
        <v/>
      </c>
      <c r="S125" s="22">
        <f>IF($P125="","",SUM($P$5:$P125))</f>
        <v/>
      </c>
      <c r="T125" s="24">
        <f>IF($R125="باخت",N($T124)+1,0)</f>
        <v/>
      </c>
      <c r="U125" s="22">
        <f>IF($S125="","",$S125-MAX($S$5:$S125))</f>
        <v/>
      </c>
    </row>
    <row r="126">
      <c r="A126" s="14" t="n"/>
      <c r="B126" s="15" t="n"/>
      <c r="C126" s="15" t="n"/>
      <c r="D126" s="15" t="n"/>
      <c r="E126" s="16" t="n"/>
      <c r="F126" s="16" t="n"/>
      <c r="G126" s="16" t="n"/>
      <c r="H126" s="17" t="n"/>
      <c r="I126" s="18" t="n"/>
      <c r="J126" s="18" t="n"/>
      <c r="K126" s="19" t="n"/>
      <c r="L126" s="20">
        <f>IF($B126="","",IFERROR(VLOOKUP($B126,'تنظیمات'!$A$4:$C$43,2,FALSE),1))</f>
        <v/>
      </c>
      <c r="M126" s="21">
        <f>IF($B126="","",IFERROR(VLOOKUP($B126,'تنظیمات'!$A$4:$C$43,3,FALSE),"USD"))</f>
        <v/>
      </c>
      <c r="N126" s="22">
        <f>IF(OR($E126="",$F126="",$H126="",$L126=""),"",ABS($E126-$F126)*$H126*IF($M126="BASE",$L126/$E126,$L126))</f>
        <v/>
      </c>
      <c r="O126" s="22">
        <f>IF($J126&lt;&gt;"",$J126,IF(OR($E126="",$G126="",$H126="",$L126=""),"",($G126-$E126)*IF($C126="فروش",-1,1)*$H126*IF($M126="BASE",$L126/$G126,$L126)))</f>
        <v/>
      </c>
      <c r="P126" s="22">
        <f>IF($O126="","",$O126-N($I126))</f>
        <v/>
      </c>
      <c r="Q126" s="23">
        <f>IF(OR($P126="",$N126="",$N126=0),"",$P126/$N126)</f>
        <v/>
      </c>
      <c r="R126" s="21">
        <f>IF($P126="","",IF($P126&gt;0,"برد",IF($P126&lt;0,"باخت","سر به سر")))</f>
        <v/>
      </c>
      <c r="S126" s="22">
        <f>IF($P126="","",SUM($P$5:$P126))</f>
        <v/>
      </c>
      <c r="T126" s="24">
        <f>IF($R126="باخت",N($T125)+1,0)</f>
        <v/>
      </c>
      <c r="U126" s="22">
        <f>IF($S126="","",$S126-MAX($S$5:$S126))</f>
        <v/>
      </c>
    </row>
    <row r="127">
      <c r="A127" s="14" t="n"/>
      <c r="B127" s="15" t="n"/>
      <c r="C127" s="15" t="n"/>
      <c r="D127" s="15" t="n"/>
      <c r="E127" s="16" t="n"/>
      <c r="F127" s="16" t="n"/>
      <c r="G127" s="16" t="n"/>
      <c r="H127" s="17" t="n"/>
      <c r="I127" s="18" t="n"/>
      <c r="J127" s="18" t="n"/>
      <c r="K127" s="19" t="n"/>
      <c r="L127" s="20">
        <f>IF($B127="","",IFERROR(VLOOKUP($B127,'تنظیمات'!$A$4:$C$43,2,FALSE),1))</f>
        <v/>
      </c>
      <c r="M127" s="21">
        <f>IF($B127="","",IFERROR(VLOOKUP($B127,'تنظیمات'!$A$4:$C$43,3,FALSE),"USD"))</f>
        <v/>
      </c>
      <c r="N127" s="22">
        <f>IF(OR($E127="",$F127="",$H127="",$L127=""),"",ABS($E127-$F127)*$H127*IF($M127="BASE",$L127/$E127,$L127))</f>
        <v/>
      </c>
      <c r="O127" s="22">
        <f>IF($J127&lt;&gt;"",$J127,IF(OR($E127="",$G127="",$H127="",$L127=""),"",($G127-$E127)*IF($C127="فروش",-1,1)*$H127*IF($M127="BASE",$L127/$G127,$L127)))</f>
        <v/>
      </c>
      <c r="P127" s="22">
        <f>IF($O127="","",$O127-N($I127))</f>
        <v/>
      </c>
      <c r="Q127" s="23">
        <f>IF(OR($P127="",$N127="",$N127=0),"",$P127/$N127)</f>
        <v/>
      </c>
      <c r="R127" s="21">
        <f>IF($P127="","",IF($P127&gt;0,"برد",IF($P127&lt;0,"باخت","سر به سر")))</f>
        <v/>
      </c>
      <c r="S127" s="22">
        <f>IF($P127="","",SUM($P$5:$P127))</f>
        <v/>
      </c>
      <c r="T127" s="24">
        <f>IF($R127="باخت",N($T126)+1,0)</f>
        <v/>
      </c>
      <c r="U127" s="22">
        <f>IF($S127="","",$S127-MAX($S$5:$S127))</f>
        <v/>
      </c>
    </row>
    <row r="128">
      <c r="A128" s="14" t="n"/>
      <c r="B128" s="15" t="n"/>
      <c r="C128" s="15" t="n"/>
      <c r="D128" s="15" t="n"/>
      <c r="E128" s="16" t="n"/>
      <c r="F128" s="16" t="n"/>
      <c r="G128" s="16" t="n"/>
      <c r="H128" s="17" t="n"/>
      <c r="I128" s="18" t="n"/>
      <c r="J128" s="18" t="n"/>
      <c r="K128" s="19" t="n"/>
      <c r="L128" s="20">
        <f>IF($B128="","",IFERROR(VLOOKUP($B128,'تنظیمات'!$A$4:$C$43,2,FALSE),1))</f>
        <v/>
      </c>
      <c r="M128" s="21">
        <f>IF($B128="","",IFERROR(VLOOKUP($B128,'تنظیمات'!$A$4:$C$43,3,FALSE),"USD"))</f>
        <v/>
      </c>
      <c r="N128" s="22">
        <f>IF(OR($E128="",$F128="",$H128="",$L128=""),"",ABS($E128-$F128)*$H128*IF($M128="BASE",$L128/$E128,$L128))</f>
        <v/>
      </c>
      <c r="O128" s="22">
        <f>IF($J128&lt;&gt;"",$J128,IF(OR($E128="",$G128="",$H128="",$L128=""),"",($G128-$E128)*IF($C128="فروش",-1,1)*$H128*IF($M128="BASE",$L128/$G128,$L128)))</f>
        <v/>
      </c>
      <c r="P128" s="22">
        <f>IF($O128="","",$O128-N($I128))</f>
        <v/>
      </c>
      <c r="Q128" s="23">
        <f>IF(OR($P128="",$N128="",$N128=0),"",$P128/$N128)</f>
        <v/>
      </c>
      <c r="R128" s="21">
        <f>IF($P128="","",IF($P128&gt;0,"برد",IF($P128&lt;0,"باخت","سر به سر")))</f>
        <v/>
      </c>
      <c r="S128" s="22">
        <f>IF($P128="","",SUM($P$5:$P128))</f>
        <v/>
      </c>
      <c r="T128" s="24">
        <f>IF($R128="باخت",N($T127)+1,0)</f>
        <v/>
      </c>
      <c r="U128" s="22">
        <f>IF($S128="","",$S128-MAX($S$5:$S128))</f>
        <v/>
      </c>
    </row>
    <row r="129">
      <c r="A129" s="14" t="n"/>
      <c r="B129" s="15" t="n"/>
      <c r="C129" s="15" t="n"/>
      <c r="D129" s="15" t="n"/>
      <c r="E129" s="16" t="n"/>
      <c r="F129" s="16" t="n"/>
      <c r="G129" s="16" t="n"/>
      <c r="H129" s="17" t="n"/>
      <c r="I129" s="18" t="n"/>
      <c r="J129" s="18" t="n"/>
      <c r="K129" s="19" t="n"/>
      <c r="L129" s="20">
        <f>IF($B129="","",IFERROR(VLOOKUP($B129,'تنظیمات'!$A$4:$C$43,2,FALSE),1))</f>
        <v/>
      </c>
      <c r="M129" s="21">
        <f>IF($B129="","",IFERROR(VLOOKUP($B129,'تنظیمات'!$A$4:$C$43,3,FALSE),"USD"))</f>
        <v/>
      </c>
      <c r="N129" s="22">
        <f>IF(OR($E129="",$F129="",$H129="",$L129=""),"",ABS($E129-$F129)*$H129*IF($M129="BASE",$L129/$E129,$L129))</f>
        <v/>
      </c>
      <c r="O129" s="22">
        <f>IF($J129&lt;&gt;"",$J129,IF(OR($E129="",$G129="",$H129="",$L129=""),"",($G129-$E129)*IF($C129="فروش",-1,1)*$H129*IF($M129="BASE",$L129/$G129,$L129)))</f>
        <v/>
      </c>
      <c r="P129" s="22">
        <f>IF($O129="","",$O129-N($I129))</f>
        <v/>
      </c>
      <c r="Q129" s="23">
        <f>IF(OR($P129="",$N129="",$N129=0),"",$P129/$N129)</f>
        <v/>
      </c>
      <c r="R129" s="21">
        <f>IF($P129="","",IF($P129&gt;0,"برد",IF($P129&lt;0,"باخت","سر به سر")))</f>
        <v/>
      </c>
      <c r="S129" s="22">
        <f>IF($P129="","",SUM($P$5:$P129))</f>
        <v/>
      </c>
      <c r="T129" s="24">
        <f>IF($R129="باخت",N($T128)+1,0)</f>
        <v/>
      </c>
      <c r="U129" s="22">
        <f>IF($S129="","",$S129-MAX($S$5:$S129))</f>
        <v/>
      </c>
    </row>
    <row r="130">
      <c r="A130" s="14" t="n"/>
      <c r="B130" s="15" t="n"/>
      <c r="C130" s="15" t="n"/>
      <c r="D130" s="15" t="n"/>
      <c r="E130" s="16" t="n"/>
      <c r="F130" s="16" t="n"/>
      <c r="G130" s="16" t="n"/>
      <c r="H130" s="17" t="n"/>
      <c r="I130" s="18" t="n"/>
      <c r="J130" s="18" t="n"/>
      <c r="K130" s="19" t="n"/>
      <c r="L130" s="20">
        <f>IF($B130="","",IFERROR(VLOOKUP($B130,'تنظیمات'!$A$4:$C$43,2,FALSE),1))</f>
        <v/>
      </c>
      <c r="M130" s="21">
        <f>IF($B130="","",IFERROR(VLOOKUP($B130,'تنظیمات'!$A$4:$C$43,3,FALSE),"USD"))</f>
        <v/>
      </c>
      <c r="N130" s="22">
        <f>IF(OR($E130="",$F130="",$H130="",$L130=""),"",ABS($E130-$F130)*$H130*IF($M130="BASE",$L130/$E130,$L130))</f>
        <v/>
      </c>
      <c r="O130" s="22">
        <f>IF($J130&lt;&gt;"",$J130,IF(OR($E130="",$G130="",$H130="",$L130=""),"",($G130-$E130)*IF($C130="فروش",-1,1)*$H130*IF($M130="BASE",$L130/$G130,$L130)))</f>
        <v/>
      </c>
      <c r="P130" s="22">
        <f>IF($O130="","",$O130-N($I130))</f>
        <v/>
      </c>
      <c r="Q130" s="23">
        <f>IF(OR($P130="",$N130="",$N130=0),"",$P130/$N130)</f>
        <v/>
      </c>
      <c r="R130" s="21">
        <f>IF($P130="","",IF($P130&gt;0,"برد",IF($P130&lt;0,"باخت","سر به سر")))</f>
        <v/>
      </c>
      <c r="S130" s="22">
        <f>IF($P130="","",SUM($P$5:$P130))</f>
        <v/>
      </c>
      <c r="T130" s="24">
        <f>IF($R130="باخت",N($T129)+1,0)</f>
        <v/>
      </c>
      <c r="U130" s="22">
        <f>IF($S130="","",$S130-MAX($S$5:$S130))</f>
        <v/>
      </c>
    </row>
    <row r="131">
      <c r="A131" s="14" t="n"/>
      <c r="B131" s="15" t="n"/>
      <c r="C131" s="15" t="n"/>
      <c r="D131" s="15" t="n"/>
      <c r="E131" s="16" t="n"/>
      <c r="F131" s="16" t="n"/>
      <c r="G131" s="16" t="n"/>
      <c r="H131" s="17" t="n"/>
      <c r="I131" s="18" t="n"/>
      <c r="J131" s="18" t="n"/>
      <c r="K131" s="19" t="n"/>
      <c r="L131" s="20">
        <f>IF($B131="","",IFERROR(VLOOKUP($B131,'تنظیمات'!$A$4:$C$43,2,FALSE),1))</f>
        <v/>
      </c>
      <c r="M131" s="21">
        <f>IF($B131="","",IFERROR(VLOOKUP($B131,'تنظیمات'!$A$4:$C$43,3,FALSE),"USD"))</f>
        <v/>
      </c>
      <c r="N131" s="22">
        <f>IF(OR($E131="",$F131="",$H131="",$L131=""),"",ABS($E131-$F131)*$H131*IF($M131="BASE",$L131/$E131,$L131))</f>
        <v/>
      </c>
      <c r="O131" s="22">
        <f>IF($J131&lt;&gt;"",$J131,IF(OR($E131="",$G131="",$H131="",$L131=""),"",($G131-$E131)*IF($C131="فروش",-1,1)*$H131*IF($M131="BASE",$L131/$G131,$L131)))</f>
        <v/>
      </c>
      <c r="P131" s="22">
        <f>IF($O131="","",$O131-N($I131))</f>
        <v/>
      </c>
      <c r="Q131" s="23">
        <f>IF(OR($P131="",$N131="",$N131=0),"",$P131/$N131)</f>
        <v/>
      </c>
      <c r="R131" s="21">
        <f>IF($P131="","",IF($P131&gt;0,"برد",IF($P131&lt;0,"باخت","سر به سر")))</f>
        <v/>
      </c>
      <c r="S131" s="22">
        <f>IF($P131="","",SUM($P$5:$P131))</f>
        <v/>
      </c>
      <c r="T131" s="24">
        <f>IF($R131="باخت",N($T130)+1,0)</f>
        <v/>
      </c>
      <c r="U131" s="22">
        <f>IF($S131="","",$S131-MAX($S$5:$S131))</f>
        <v/>
      </c>
    </row>
    <row r="132">
      <c r="A132" s="14" t="n"/>
      <c r="B132" s="15" t="n"/>
      <c r="C132" s="15" t="n"/>
      <c r="D132" s="15" t="n"/>
      <c r="E132" s="16" t="n"/>
      <c r="F132" s="16" t="n"/>
      <c r="G132" s="16" t="n"/>
      <c r="H132" s="17" t="n"/>
      <c r="I132" s="18" t="n"/>
      <c r="J132" s="18" t="n"/>
      <c r="K132" s="19" t="n"/>
      <c r="L132" s="20">
        <f>IF($B132="","",IFERROR(VLOOKUP($B132,'تنظیمات'!$A$4:$C$43,2,FALSE),1))</f>
        <v/>
      </c>
      <c r="M132" s="21">
        <f>IF($B132="","",IFERROR(VLOOKUP($B132,'تنظیمات'!$A$4:$C$43,3,FALSE),"USD"))</f>
        <v/>
      </c>
      <c r="N132" s="22">
        <f>IF(OR($E132="",$F132="",$H132="",$L132=""),"",ABS($E132-$F132)*$H132*IF($M132="BASE",$L132/$E132,$L132))</f>
        <v/>
      </c>
      <c r="O132" s="22">
        <f>IF($J132&lt;&gt;"",$J132,IF(OR($E132="",$G132="",$H132="",$L132=""),"",($G132-$E132)*IF($C132="فروش",-1,1)*$H132*IF($M132="BASE",$L132/$G132,$L132)))</f>
        <v/>
      </c>
      <c r="P132" s="22">
        <f>IF($O132="","",$O132-N($I132))</f>
        <v/>
      </c>
      <c r="Q132" s="23">
        <f>IF(OR($P132="",$N132="",$N132=0),"",$P132/$N132)</f>
        <v/>
      </c>
      <c r="R132" s="21">
        <f>IF($P132="","",IF($P132&gt;0,"برد",IF($P132&lt;0,"باخت","سر به سر")))</f>
        <v/>
      </c>
      <c r="S132" s="22">
        <f>IF($P132="","",SUM($P$5:$P132))</f>
        <v/>
      </c>
      <c r="T132" s="24">
        <f>IF($R132="باخت",N($T131)+1,0)</f>
        <v/>
      </c>
      <c r="U132" s="22">
        <f>IF($S132="","",$S132-MAX($S$5:$S132))</f>
        <v/>
      </c>
    </row>
    <row r="133">
      <c r="A133" s="14" t="n"/>
      <c r="B133" s="15" t="n"/>
      <c r="C133" s="15" t="n"/>
      <c r="D133" s="15" t="n"/>
      <c r="E133" s="16" t="n"/>
      <c r="F133" s="16" t="n"/>
      <c r="G133" s="16" t="n"/>
      <c r="H133" s="17" t="n"/>
      <c r="I133" s="18" t="n"/>
      <c r="J133" s="18" t="n"/>
      <c r="K133" s="19" t="n"/>
      <c r="L133" s="20">
        <f>IF($B133="","",IFERROR(VLOOKUP($B133,'تنظیمات'!$A$4:$C$43,2,FALSE),1))</f>
        <v/>
      </c>
      <c r="M133" s="21">
        <f>IF($B133="","",IFERROR(VLOOKUP($B133,'تنظیمات'!$A$4:$C$43,3,FALSE),"USD"))</f>
        <v/>
      </c>
      <c r="N133" s="22">
        <f>IF(OR($E133="",$F133="",$H133="",$L133=""),"",ABS($E133-$F133)*$H133*IF($M133="BASE",$L133/$E133,$L133))</f>
        <v/>
      </c>
      <c r="O133" s="22">
        <f>IF($J133&lt;&gt;"",$J133,IF(OR($E133="",$G133="",$H133="",$L133=""),"",($G133-$E133)*IF($C133="فروش",-1,1)*$H133*IF($M133="BASE",$L133/$G133,$L133)))</f>
        <v/>
      </c>
      <c r="P133" s="22">
        <f>IF($O133="","",$O133-N($I133))</f>
        <v/>
      </c>
      <c r="Q133" s="23">
        <f>IF(OR($P133="",$N133="",$N133=0),"",$P133/$N133)</f>
        <v/>
      </c>
      <c r="R133" s="21">
        <f>IF($P133="","",IF($P133&gt;0,"برد",IF($P133&lt;0,"باخت","سر به سر")))</f>
        <v/>
      </c>
      <c r="S133" s="22">
        <f>IF($P133="","",SUM($P$5:$P133))</f>
        <v/>
      </c>
      <c r="T133" s="24">
        <f>IF($R133="باخت",N($T132)+1,0)</f>
        <v/>
      </c>
      <c r="U133" s="22">
        <f>IF($S133="","",$S133-MAX($S$5:$S133))</f>
        <v/>
      </c>
    </row>
    <row r="134">
      <c r="A134" s="14" t="n"/>
      <c r="B134" s="15" t="n"/>
      <c r="C134" s="15" t="n"/>
      <c r="D134" s="15" t="n"/>
      <c r="E134" s="16" t="n"/>
      <c r="F134" s="16" t="n"/>
      <c r="G134" s="16" t="n"/>
      <c r="H134" s="17" t="n"/>
      <c r="I134" s="18" t="n"/>
      <c r="J134" s="18" t="n"/>
      <c r="K134" s="19" t="n"/>
      <c r="L134" s="20">
        <f>IF($B134="","",IFERROR(VLOOKUP($B134,'تنظیمات'!$A$4:$C$43,2,FALSE),1))</f>
        <v/>
      </c>
      <c r="M134" s="21">
        <f>IF($B134="","",IFERROR(VLOOKUP($B134,'تنظیمات'!$A$4:$C$43,3,FALSE),"USD"))</f>
        <v/>
      </c>
      <c r="N134" s="22">
        <f>IF(OR($E134="",$F134="",$H134="",$L134=""),"",ABS($E134-$F134)*$H134*IF($M134="BASE",$L134/$E134,$L134))</f>
        <v/>
      </c>
      <c r="O134" s="22">
        <f>IF($J134&lt;&gt;"",$J134,IF(OR($E134="",$G134="",$H134="",$L134=""),"",($G134-$E134)*IF($C134="فروش",-1,1)*$H134*IF($M134="BASE",$L134/$G134,$L134)))</f>
        <v/>
      </c>
      <c r="P134" s="22">
        <f>IF($O134="","",$O134-N($I134))</f>
        <v/>
      </c>
      <c r="Q134" s="23">
        <f>IF(OR($P134="",$N134="",$N134=0),"",$P134/$N134)</f>
        <v/>
      </c>
      <c r="R134" s="21">
        <f>IF($P134="","",IF($P134&gt;0,"برد",IF($P134&lt;0,"باخت","سر به سر")))</f>
        <v/>
      </c>
      <c r="S134" s="22">
        <f>IF($P134="","",SUM($P$5:$P134))</f>
        <v/>
      </c>
      <c r="T134" s="24">
        <f>IF($R134="باخت",N($T133)+1,0)</f>
        <v/>
      </c>
      <c r="U134" s="22">
        <f>IF($S134="","",$S134-MAX($S$5:$S134))</f>
        <v/>
      </c>
    </row>
    <row r="135">
      <c r="A135" s="14" t="n"/>
      <c r="B135" s="15" t="n"/>
      <c r="C135" s="15" t="n"/>
      <c r="D135" s="15" t="n"/>
      <c r="E135" s="16" t="n"/>
      <c r="F135" s="16" t="n"/>
      <c r="G135" s="16" t="n"/>
      <c r="H135" s="17" t="n"/>
      <c r="I135" s="18" t="n"/>
      <c r="J135" s="18" t="n"/>
      <c r="K135" s="19" t="n"/>
      <c r="L135" s="20">
        <f>IF($B135="","",IFERROR(VLOOKUP($B135,'تنظیمات'!$A$4:$C$43,2,FALSE),1))</f>
        <v/>
      </c>
      <c r="M135" s="21">
        <f>IF($B135="","",IFERROR(VLOOKUP($B135,'تنظیمات'!$A$4:$C$43,3,FALSE),"USD"))</f>
        <v/>
      </c>
      <c r="N135" s="22">
        <f>IF(OR($E135="",$F135="",$H135="",$L135=""),"",ABS($E135-$F135)*$H135*IF($M135="BASE",$L135/$E135,$L135))</f>
        <v/>
      </c>
      <c r="O135" s="22">
        <f>IF($J135&lt;&gt;"",$J135,IF(OR($E135="",$G135="",$H135="",$L135=""),"",($G135-$E135)*IF($C135="فروش",-1,1)*$H135*IF($M135="BASE",$L135/$G135,$L135)))</f>
        <v/>
      </c>
      <c r="P135" s="22">
        <f>IF($O135="","",$O135-N($I135))</f>
        <v/>
      </c>
      <c r="Q135" s="23">
        <f>IF(OR($P135="",$N135="",$N135=0),"",$P135/$N135)</f>
        <v/>
      </c>
      <c r="R135" s="21">
        <f>IF($P135="","",IF($P135&gt;0,"برد",IF($P135&lt;0,"باخت","سر به سر")))</f>
        <v/>
      </c>
      <c r="S135" s="22">
        <f>IF($P135="","",SUM($P$5:$P135))</f>
        <v/>
      </c>
      <c r="T135" s="24">
        <f>IF($R135="باخت",N($T134)+1,0)</f>
        <v/>
      </c>
      <c r="U135" s="22">
        <f>IF($S135="","",$S135-MAX($S$5:$S135))</f>
        <v/>
      </c>
    </row>
    <row r="136">
      <c r="A136" s="14" t="n"/>
      <c r="B136" s="15" t="n"/>
      <c r="C136" s="15" t="n"/>
      <c r="D136" s="15" t="n"/>
      <c r="E136" s="16" t="n"/>
      <c r="F136" s="16" t="n"/>
      <c r="G136" s="16" t="n"/>
      <c r="H136" s="17" t="n"/>
      <c r="I136" s="18" t="n"/>
      <c r="J136" s="18" t="n"/>
      <c r="K136" s="19" t="n"/>
      <c r="L136" s="20">
        <f>IF($B136="","",IFERROR(VLOOKUP($B136,'تنظیمات'!$A$4:$C$43,2,FALSE),1))</f>
        <v/>
      </c>
      <c r="M136" s="21">
        <f>IF($B136="","",IFERROR(VLOOKUP($B136,'تنظیمات'!$A$4:$C$43,3,FALSE),"USD"))</f>
        <v/>
      </c>
      <c r="N136" s="22">
        <f>IF(OR($E136="",$F136="",$H136="",$L136=""),"",ABS($E136-$F136)*$H136*IF($M136="BASE",$L136/$E136,$L136))</f>
        <v/>
      </c>
      <c r="O136" s="22">
        <f>IF($J136&lt;&gt;"",$J136,IF(OR($E136="",$G136="",$H136="",$L136=""),"",($G136-$E136)*IF($C136="فروش",-1,1)*$H136*IF($M136="BASE",$L136/$G136,$L136)))</f>
        <v/>
      </c>
      <c r="P136" s="22">
        <f>IF($O136="","",$O136-N($I136))</f>
        <v/>
      </c>
      <c r="Q136" s="23">
        <f>IF(OR($P136="",$N136="",$N136=0),"",$P136/$N136)</f>
        <v/>
      </c>
      <c r="R136" s="21">
        <f>IF($P136="","",IF($P136&gt;0,"برد",IF($P136&lt;0,"باخت","سر به سر")))</f>
        <v/>
      </c>
      <c r="S136" s="22">
        <f>IF($P136="","",SUM($P$5:$P136))</f>
        <v/>
      </c>
      <c r="T136" s="24">
        <f>IF($R136="باخت",N($T135)+1,0)</f>
        <v/>
      </c>
      <c r="U136" s="22">
        <f>IF($S136="","",$S136-MAX($S$5:$S136))</f>
        <v/>
      </c>
    </row>
    <row r="137">
      <c r="A137" s="14" t="n"/>
      <c r="B137" s="15" t="n"/>
      <c r="C137" s="15" t="n"/>
      <c r="D137" s="15" t="n"/>
      <c r="E137" s="16" t="n"/>
      <c r="F137" s="16" t="n"/>
      <c r="G137" s="16" t="n"/>
      <c r="H137" s="17" t="n"/>
      <c r="I137" s="18" t="n"/>
      <c r="J137" s="18" t="n"/>
      <c r="K137" s="19" t="n"/>
      <c r="L137" s="20">
        <f>IF($B137="","",IFERROR(VLOOKUP($B137,'تنظیمات'!$A$4:$C$43,2,FALSE),1))</f>
        <v/>
      </c>
      <c r="M137" s="21">
        <f>IF($B137="","",IFERROR(VLOOKUP($B137,'تنظیمات'!$A$4:$C$43,3,FALSE),"USD"))</f>
        <v/>
      </c>
      <c r="N137" s="22">
        <f>IF(OR($E137="",$F137="",$H137="",$L137=""),"",ABS($E137-$F137)*$H137*IF($M137="BASE",$L137/$E137,$L137))</f>
        <v/>
      </c>
      <c r="O137" s="22">
        <f>IF($J137&lt;&gt;"",$J137,IF(OR($E137="",$G137="",$H137="",$L137=""),"",($G137-$E137)*IF($C137="فروش",-1,1)*$H137*IF($M137="BASE",$L137/$G137,$L137)))</f>
        <v/>
      </c>
      <c r="P137" s="22">
        <f>IF($O137="","",$O137-N($I137))</f>
        <v/>
      </c>
      <c r="Q137" s="23">
        <f>IF(OR($P137="",$N137="",$N137=0),"",$P137/$N137)</f>
        <v/>
      </c>
      <c r="R137" s="21">
        <f>IF($P137="","",IF($P137&gt;0,"برد",IF($P137&lt;0,"باخت","سر به سر")))</f>
        <v/>
      </c>
      <c r="S137" s="22">
        <f>IF($P137="","",SUM($P$5:$P137))</f>
        <v/>
      </c>
      <c r="T137" s="24">
        <f>IF($R137="باخت",N($T136)+1,0)</f>
        <v/>
      </c>
      <c r="U137" s="22">
        <f>IF($S137="","",$S137-MAX($S$5:$S137))</f>
        <v/>
      </c>
    </row>
    <row r="138">
      <c r="A138" s="14" t="n"/>
      <c r="B138" s="15" t="n"/>
      <c r="C138" s="15" t="n"/>
      <c r="D138" s="15" t="n"/>
      <c r="E138" s="16" t="n"/>
      <c r="F138" s="16" t="n"/>
      <c r="G138" s="16" t="n"/>
      <c r="H138" s="17" t="n"/>
      <c r="I138" s="18" t="n"/>
      <c r="J138" s="18" t="n"/>
      <c r="K138" s="19" t="n"/>
      <c r="L138" s="20">
        <f>IF($B138="","",IFERROR(VLOOKUP($B138,'تنظیمات'!$A$4:$C$43,2,FALSE),1))</f>
        <v/>
      </c>
      <c r="M138" s="21">
        <f>IF($B138="","",IFERROR(VLOOKUP($B138,'تنظیمات'!$A$4:$C$43,3,FALSE),"USD"))</f>
        <v/>
      </c>
      <c r="N138" s="22">
        <f>IF(OR($E138="",$F138="",$H138="",$L138=""),"",ABS($E138-$F138)*$H138*IF($M138="BASE",$L138/$E138,$L138))</f>
        <v/>
      </c>
      <c r="O138" s="22">
        <f>IF($J138&lt;&gt;"",$J138,IF(OR($E138="",$G138="",$H138="",$L138=""),"",($G138-$E138)*IF($C138="فروش",-1,1)*$H138*IF($M138="BASE",$L138/$G138,$L138)))</f>
        <v/>
      </c>
      <c r="P138" s="22">
        <f>IF($O138="","",$O138-N($I138))</f>
        <v/>
      </c>
      <c r="Q138" s="23">
        <f>IF(OR($P138="",$N138="",$N138=0),"",$P138/$N138)</f>
        <v/>
      </c>
      <c r="R138" s="21">
        <f>IF($P138="","",IF($P138&gt;0,"برد",IF($P138&lt;0,"باخت","سر به سر")))</f>
        <v/>
      </c>
      <c r="S138" s="22">
        <f>IF($P138="","",SUM($P$5:$P138))</f>
        <v/>
      </c>
      <c r="T138" s="24">
        <f>IF($R138="باخت",N($T137)+1,0)</f>
        <v/>
      </c>
      <c r="U138" s="22">
        <f>IF($S138="","",$S138-MAX($S$5:$S138))</f>
        <v/>
      </c>
    </row>
    <row r="139">
      <c r="A139" s="14" t="n"/>
      <c r="B139" s="15" t="n"/>
      <c r="C139" s="15" t="n"/>
      <c r="D139" s="15" t="n"/>
      <c r="E139" s="16" t="n"/>
      <c r="F139" s="16" t="n"/>
      <c r="G139" s="16" t="n"/>
      <c r="H139" s="17" t="n"/>
      <c r="I139" s="18" t="n"/>
      <c r="J139" s="18" t="n"/>
      <c r="K139" s="19" t="n"/>
      <c r="L139" s="20">
        <f>IF($B139="","",IFERROR(VLOOKUP($B139,'تنظیمات'!$A$4:$C$43,2,FALSE),1))</f>
        <v/>
      </c>
      <c r="M139" s="21">
        <f>IF($B139="","",IFERROR(VLOOKUP($B139,'تنظیمات'!$A$4:$C$43,3,FALSE),"USD"))</f>
        <v/>
      </c>
      <c r="N139" s="22">
        <f>IF(OR($E139="",$F139="",$H139="",$L139=""),"",ABS($E139-$F139)*$H139*IF($M139="BASE",$L139/$E139,$L139))</f>
        <v/>
      </c>
      <c r="O139" s="22">
        <f>IF($J139&lt;&gt;"",$J139,IF(OR($E139="",$G139="",$H139="",$L139=""),"",($G139-$E139)*IF($C139="فروش",-1,1)*$H139*IF($M139="BASE",$L139/$G139,$L139)))</f>
        <v/>
      </c>
      <c r="P139" s="22">
        <f>IF($O139="","",$O139-N($I139))</f>
        <v/>
      </c>
      <c r="Q139" s="23">
        <f>IF(OR($P139="",$N139="",$N139=0),"",$P139/$N139)</f>
        <v/>
      </c>
      <c r="R139" s="21">
        <f>IF($P139="","",IF($P139&gt;0,"برد",IF($P139&lt;0,"باخت","سر به سر")))</f>
        <v/>
      </c>
      <c r="S139" s="22">
        <f>IF($P139="","",SUM($P$5:$P139))</f>
        <v/>
      </c>
      <c r="T139" s="24">
        <f>IF($R139="باخت",N($T138)+1,0)</f>
        <v/>
      </c>
      <c r="U139" s="22">
        <f>IF($S139="","",$S139-MAX($S$5:$S139))</f>
        <v/>
      </c>
    </row>
    <row r="140">
      <c r="A140" s="14" t="n"/>
      <c r="B140" s="15" t="n"/>
      <c r="C140" s="15" t="n"/>
      <c r="D140" s="15" t="n"/>
      <c r="E140" s="16" t="n"/>
      <c r="F140" s="16" t="n"/>
      <c r="G140" s="16" t="n"/>
      <c r="H140" s="17" t="n"/>
      <c r="I140" s="18" t="n"/>
      <c r="J140" s="18" t="n"/>
      <c r="K140" s="19" t="n"/>
      <c r="L140" s="20">
        <f>IF($B140="","",IFERROR(VLOOKUP($B140,'تنظیمات'!$A$4:$C$43,2,FALSE),1))</f>
        <v/>
      </c>
      <c r="M140" s="21">
        <f>IF($B140="","",IFERROR(VLOOKUP($B140,'تنظیمات'!$A$4:$C$43,3,FALSE),"USD"))</f>
        <v/>
      </c>
      <c r="N140" s="22">
        <f>IF(OR($E140="",$F140="",$H140="",$L140=""),"",ABS($E140-$F140)*$H140*IF($M140="BASE",$L140/$E140,$L140))</f>
        <v/>
      </c>
      <c r="O140" s="22">
        <f>IF($J140&lt;&gt;"",$J140,IF(OR($E140="",$G140="",$H140="",$L140=""),"",($G140-$E140)*IF($C140="فروش",-1,1)*$H140*IF($M140="BASE",$L140/$G140,$L140)))</f>
        <v/>
      </c>
      <c r="P140" s="22">
        <f>IF($O140="","",$O140-N($I140))</f>
        <v/>
      </c>
      <c r="Q140" s="23">
        <f>IF(OR($P140="",$N140="",$N140=0),"",$P140/$N140)</f>
        <v/>
      </c>
      <c r="R140" s="21">
        <f>IF($P140="","",IF($P140&gt;0,"برد",IF($P140&lt;0,"باخت","سر به سر")))</f>
        <v/>
      </c>
      <c r="S140" s="22">
        <f>IF($P140="","",SUM($P$5:$P140))</f>
        <v/>
      </c>
      <c r="T140" s="24">
        <f>IF($R140="باخت",N($T139)+1,0)</f>
        <v/>
      </c>
      <c r="U140" s="22">
        <f>IF($S140="","",$S140-MAX($S$5:$S140))</f>
        <v/>
      </c>
    </row>
    <row r="141">
      <c r="A141" s="14" t="n"/>
      <c r="B141" s="15" t="n"/>
      <c r="C141" s="15" t="n"/>
      <c r="D141" s="15" t="n"/>
      <c r="E141" s="16" t="n"/>
      <c r="F141" s="16" t="n"/>
      <c r="G141" s="16" t="n"/>
      <c r="H141" s="17" t="n"/>
      <c r="I141" s="18" t="n"/>
      <c r="J141" s="18" t="n"/>
      <c r="K141" s="19" t="n"/>
      <c r="L141" s="20">
        <f>IF($B141="","",IFERROR(VLOOKUP($B141,'تنظیمات'!$A$4:$C$43,2,FALSE),1))</f>
        <v/>
      </c>
      <c r="M141" s="21">
        <f>IF($B141="","",IFERROR(VLOOKUP($B141,'تنظیمات'!$A$4:$C$43,3,FALSE),"USD"))</f>
        <v/>
      </c>
      <c r="N141" s="22">
        <f>IF(OR($E141="",$F141="",$H141="",$L141=""),"",ABS($E141-$F141)*$H141*IF($M141="BASE",$L141/$E141,$L141))</f>
        <v/>
      </c>
      <c r="O141" s="22">
        <f>IF($J141&lt;&gt;"",$J141,IF(OR($E141="",$G141="",$H141="",$L141=""),"",($G141-$E141)*IF($C141="فروش",-1,1)*$H141*IF($M141="BASE",$L141/$G141,$L141)))</f>
        <v/>
      </c>
      <c r="P141" s="22">
        <f>IF($O141="","",$O141-N($I141))</f>
        <v/>
      </c>
      <c r="Q141" s="23">
        <f>IF(OR($P141="",$N141="",$N141=0),"",$P141/$N141)</f>
        <v/>
      </c>
      <c r="R141" s="21">
        <f>IF($P141="","",IF($P141&gt;0,"برد",IF($P141&lt;0,"باخت","سر به سر")))</f>
        <v/>
      </c>
      <c r="S141" s="22">
        <f>IF($P141="","",SUM($P$5:$P141))</f>
        <v/>
      </c>
      <c r="T141" s="24">
        <f>IF($R141="باخت",N($T140)+1,0)</f>
        <v/>
      </c>
      <c r="U141" s="22">
        <f>IF($S141="","",$S141-MAX($S$5:$S141))</f>
        <v/>
      </c>
    </row>
    <row r="142">
      <c r="A142" s="14" t="n"/>
      <c r="B142" s="15" t="n"/>
      <c r="C142" s="15" t="n"/>
      <c r="D142" s="15" t="n"/>
      <c r="E142" s="16" t="n"/>
      <c r="F142" s="16" t="n"/>
      <c r="G142" s="16" t="n"/>
      <c r="H142" s="17" t="n"/>
      <c r="I142" s="18" t="n"/>
      <c r="J142" s="18" t="n"/>
      <c r="K142" s="19" t="n"/>
      <c r="L142" s="20">
        <f>IF($B142="","",IFERROR(VLOOKUP($B142,'تنظیمات'!$A$4:$C$43,2,FALSE),1))</f>
        <v/>
      </c>
      <c r="M142" s="21">
        <f>IF($B142="","",IFERROR(VLOOKUP($B142,'تنظیمات'!$A$4:$C$43,3,FALSE),"USD"))</f>
        <v/>
      </c>
      <c r="N142" s="22">
        <f>IF(OR($E142="",$F142="",$H142="",$L142=""),"",ABS($E142-$F142)*$H142*IF($M142="BASE",$L142/$E142,$L142))</f>
        <v/>
      </c>
      <c r="O142" s="22">
        <f>IF($J142&lt;&gt;"",$J142,IF(OR($E142="",$G142="",$H142="",$L142=""),"",($G142-$E142)*IF($C142="فروش",-1,1)*$H142*IF($M142="BASE",$L142/$G142,$L142)))</f>
        <v/>
      </c>
      <c r="P142" s="22">
        <f>IF($O142="","",$O142-N($I142))</f>
        <v/>
      </c>
      <c r="Q142" s="23">
        <f>IF(OR($P142="",$N142="",$N142=0),"",$P142/$N142)</f>
        <v/>
      </c>
      <c r="R142" s="21">
        <f>IF($P142="","",IF($P142&gt;0,"برد",IF($P142&lt;0,"باخت","سر به سر")))</f>
        <v/>
      </c>
      <c r="S142" s="22">
        <f>IF($P142="","",SUM($P$5:$P142))</f>
        <v/>
      </c>
      <c r="T142" s="24">
        <f>IF($R142="باخت",N($T141)+1,0)</f>
        <v/>
      </c>
      <c r="U142" s="22">
        <f>IF($S142="","",$S142-MAX($S$5:$S142))</f>
        <v/>
      </c>
    </row>
    <row r="143">
      <c r="A143" s="14" t="n"/>
      <c r="B143" s="15" t="n"/>
      <c r="C143" s="15" t="n"/>
      <c r="D143" s="15" t="n"/>
      <c r="E143" s="16" t="n"/>
      <c r="F143" s="16" t="n"/>
      <c r="G143" s="16" t="n"/>
      <c r="H143" s="17" t="n"/>
      <c r="I143" s="18" t="n"/>
      <c r="J143" s="18" t="n"/>
      <c r="K143" s="19" t="n"/>
      <c r="L143" s="20">
        <f>IF($B143="","",IFERROR(VLOOKUP($B143,'تنظیمات'!$A$4:$C$43,2,FALSE),1))</f>
        <v/>
      </c>
      <c r="M143" s="21">
        <f>IF($B143="","",IFERROR(VLOOKUP($B143,'تنظیمات'!$A$4:$C$43,3,FALSE),"USD"))</f>
        <v/>
      </c>
      <c r="N143" s="22">
        <f>IF(OR($E143="",$F143="",$H143="",$L143=""),"",ABS($E143-$F143)*$H143*IF($M143="BASE",$L143/$E143,$L143))</f>
        <v/>
      </c>
      <c r="O143" s="22">
        <f>IF($J143&lt;&gt;"",$J143,IF(OR($E143="",$G143="",$H143="",$L143=""),"",($G143-$E143)*IF($C143="فروش",-1,1)*$H143*IF($M143="BASE",$L143/$G143,$L143)))</f>
        <v/>
      </c>
      <c r="P143" s="22">
        <f>IF($O143="","",$O143-N($I143))</f>
        <v/>
      </c>
      <c r="Q143" s="23">
        <f>IF(OR($P143="",$N143="",$N143=0),"",$P143/$N143)</f>
        <v/>
      </c>
      <c r="R143" s="21">
        <f>IF($P143="","",IF($P143&gt;0,"برد",IF($P143&lt;0,"باخت","سر به سر")))</f>
        <v/>
      </c>
      <c r="S143" s="22">
        <f>IF($P143="","",SUM($P$5:$P143))</f>
        <v/>
      </c>
      <c r="T143" s="24">
        <f>IF($R143="باخت",N($T142)+1,0)</f>
        <v/>
      </c>
      <c r="U143" s="22">
        <f>IF($S143="","",$S143-MAX($S$5:$S143))</f>
        <v/>
      </c>
    </row>
    <row r="144">
      <c r="A144" s="14" t="n"/>
      <c r="B144" s="15" t="n"/>
      <c r="C144" s="15" t="n"/>
      <c r="D144" s="15" t="n"/>
      <c r="E144" s="16" t="n"/>
      <c r="F144" s="16" t="n"/>
      <c r="G144" s="16" t="n"/>
      <c r="H144" s="17" t="n"/>
      <c r="I144" s="18" t="n"/>
      <c r="J144" s="18" t="n"/>
      <c r="K144" s="19" t="n"/>
      <c r="L144" s="20">
        <f>IF($B144="","",IFERROR(VLOOKUP($B144,'تنظیمات'!$A$4:$C$43,2,FALSE),1))</f>
        <v/>
      </c>
      <c r="M144" s="21">
        <f>IF($B144="","",IFERROR(VLOOKUP($B144,'تنظیمات'!$A$4:$C$43,3,FALSE),"USD"))</f>
        <v/>
      </c>
      <c r="N144" s="22">
        <f>IF(OR($E144="",$F144="",$H144="",$L144=""),"",ABS($E144-$F144)*$H144*IF($M144="BASE",$L144/$E144,$L144))</f>
        <v/>
      </c>
      <c r="O144" s="22">
        <f>IF($J144&lt;&gt;"",$J144,IF(OR($E144="",$G144="",$H144="",$L144=""),"",($G144-$E144)*IF($C144="فروش",-1,1)*$H144*IF($M144="BASE",$L144/$G144,$L144)))</f>
        <v/>
      </c>
      <c r="P144" s="22">
        <f>IF($O144="","",$O144-N($I144))</f>
        <v/>
      </c>
      <c r="Q144" s="23">
        <f>IF(OR($P144="",$N144="",$N144=0),"",$P144/$N144)</f>
        <v/>
      </c>
      <c r="R144" s="21">
        <f>IF($P144="","",IF($P144&gt;0,"برد",IF($P144&lt;0,"باخت","سر به سر")))</f>
        <v/>
      </c>
      <c r="S144" s="22">
        <f>IF($P144="","",SUM($P$5:$P144))</f>
        <v/>
      </c>
      <c r="T144" s="24">
        <f>IF($R144="باخت",N($T143)+1,0)</f>
        <v/>
      </c>
      <c r="U144" s="22">
        <f>IF($S144="","",$S144-MAX($S$5:$S144))</f>
        <v/>
      </c>
    </row>
    <row r="145">
      <c r="A145" s="14" t="n"/>
      <c r="B145" s="15" t="n"/>
      <c r="C145" s="15" t="n"/>
      <c r="D145" s="15" t="n"/>
      <c r="E145" s="16" t="n"/>
      <c r="F145" s="16" t="n"/>
      <c r="G145" s="16" t="n"/>
      <c r="H145" s="17" t="n"/>
      <c r="I145" s="18" t="n"/>
      <c r="J145" s="18" t="n"/>
      <c r="K145" s="19" t="n"/>
      <c r="L145" s="20">
        <f>IF($B145="","",IFERROR(VLOOKUP($B145,'تنظیمات'!$A$4:$C$43,2,FALSE),1))</f>
        <v/>
      </c>
      <c r="M145" s="21">
        <f>IF($B145="","",IFERROR(VLOOKUP($B145,'تنظیمات'!$A$4:$C$43,3,FALSE),"USD"))</f>
        <v/>
      </c>
      <c r="N145" s="22">
        <f>IF(OR($E145="",$F145="",$H145="",$L145=""),"",ABS($E145-$F145)*$H145*IF($M145="BASE",$L145/$E145,$L145))</f>
        <v/>
      </c>
      <c r="O145" s="22">
        <f>IF($J145&lt;&gt;"",$J145,IF(OR($E145="",$G145="",$H145="",$L145=""),"",($G145-$E145)*IF($C145="فروش",-1,1)*$H145*IF($M145="BASE",$L145/$G145,$L145)))</f>
        <v/>
      </c>
      <c r="P145" s="22">
        <f>IF($O145="","",$O145-N($I145))</f>
        <v/>
      </c>
      <c r="Q145" s="23">
        <f>IF(OR($P145="",$N145="",$N145=0),"",$P145/$N145)</f>
        <v/>
      </c>
      <c r="R145" s="21">
        <f>IF($P145="","",IF($P145&gt;0,"برد",IF($P145&lt;0,"باخت","سر به سر")))</f>
        <v/>
      </c>
      <c r="S145" s="22">
        <f>IF($P145="","",SUM($P$5:$P145))</f>
        <v/>
      </c>
      <c r="T145" s="24">
        <f>IF($R145="باخت",N($T144)+1,0)</f>
        <v/>
      </c>
      <c r="U145" s="22">
        <f>IF($S145="","",$S145-MAX($S$5:$S145))</f>
        <v/>
      </c>
    </row>
    <row r="146">
      <c r="A146" s="14" t="n"/>
      <c r="B146" s="15" t="n"/>
      <c r="C146" s="15" t="n"/>
      <c r="D146" s="15" t="n"/>
      <c r="E146" s="16" t="n"/>
      <c r="F146" s="16" t="n"/>
      <c r="G146" s="16" t="n"/>
      <c r="H146" s="17" t="n"/>
      <c r="I146" s="18" t="n"/>
      <c r="J146" s="18" t="n"/>
      <c r="K146" s="19" t="n"/>
      <c r="L146" s="20">
        <f>IF($B146="","",IFERROR(VLOOKUP($B146,'تنظیمات'!$A$4:$C$43,2,FALSE),1))</f>
        <v/>
      </c>
      <c r="M146" s="21">
        <f>IF($B146="","",IFERROR(VLOOKUP($B146,'تنظیمات'!$A$4:$C$43,3,FALSE),"USD"))</f>
        <v/>
      </c>
      <c r="N146" s="22">
        <f>IF(OR($E146="",$F146="",$H146="",$L146=""),"",ABS($E146-$F146)*$H146*IF($M146="BASE",$L146/$E146,$L146))</f>
        <v/>
      </c>
      <c r="O146" s="22">
        <f>IF($J146&lt;&gt;"",$J146,IF(OR($E146="",$G146="",$H146="",$L146=""),"",($G146-$E146)*IF($C146="فروش",-1,1)*$H146*IF($M146="BASE",$L146/$G146,$L146)))</f>
        <v/>
      </c>
      <c r="P146" s="22">
        <f>IF($O146="","",$O146-N($I146))</f>
        <v/>
      </c>
      <c r="Q146" s="23">
        <f>IF(OR($P146="",$N146="",$N146=0),"",$P146/$N146)</f>
        <v/>
      </c>
      <c r="R146" s="21">
        <f>IF($P146="","",IF($P146&gt;0,"برد",IF($P146&lt;0,"باخت","سر به سر")))</f>
        <v/>
      </c>
      <c r="S146" s="22">
        <f>IF($P146="","",SUM($P$5:$P146))</f>
        <v/>
      </c>
      <c r="T146" s="24">
        <f>IF($R146="باخت",N($T145)+1,0)</f>
        <v/>
      </c>
      <c r="U146" s="22">
        <f>IF($S146="","",$S146-MAX($S$5:$S146))</f>
        <v/>
      </c>
    </row>
    <row r="147">
      <c r="A147" s="14" t="n"/>
      <c r="B147" s="15" t="n"/>
      <c r="C147" s="15" t="n"/>
      <c r="D147" s="15" t="n"/>
      <c r="E147" s="16" t="n"/>
      <c r="F147" s="16" t="n"/>
      <c r="G147" s="16" t="n"/>
      <c r="H147" s="17" t="n"/>
      <c r="I147" s="18" t="n"/>
      <c r="J147" s="18" t="n"/>
      <c r="K147" s="19" t="n"/>
      <c r="L147" s="20">
        <f>IF($B147="","",IFERROR(VLOOKUP($B147,'تنظیمات'!$A$4:$C$43,2,FALSE),1))</f>
        <v/>
      </c>
      <c r="M147" s="21">
        <f>IF($B147="","",IFERROR(VLOOKUP($B147,'تنظیمات'!$A$4:$C$43,3,FALSE),"USD"))</f>
        <v/>
      </c>
      <c r="N147" s="22">
        <f>IF(OR($E147="",$F147="",$H147="",$L147=""),"",ABS($E147-$F147)*$H147*IF($M147="BASE",$L147/$E147,$L147))</f>
        <v/>
      </c>
      <c r="O147" s="22">
        <f>IF($J147&lt;&gt;"",$J147,IF(OR($E147="",$G147="",$H147="",$L147=""),"",($G147-$E147)*IF($C147="فروش",-1,1)*$H147*IF($M147="BASE",$L147/$G147,$L147)))</f>
        <v/>
      </c>
      <c r="P147" s="22">
        <f>IF($O147="","",$O147-N($I147))</f>
        <v/>
      </c>
      <c r="Q147" s="23">
        <f>IF(OR($P147="",$N147="",$N147=0),"",$P147/$N147)</f>
        <v/>
      </c>
      <c r="R147" s="21">
        <f>IF($P147="","",IF($P147&gt;0,"برد",IF($P147&lt;0,"باخت","سر به سر")))</f>
        <v/>
      </c>
      <c r="S147" s="22">
        <f>IF($P147="","",SUM($P$5:$P147))</f>
        <v/>
      </c>
      <c r="T147" s="24">
        <f>IF($R147="باخت",N($T146)+1,0)</f>
        <v/>
      </c>
      <c r="U147" s="22">
        <f>IF($S147="","",$S147-MAX($S$5:$S147))</f>
        <v/>
      </c>
    </row>
    <row r="148">
      <c r="A148" s="14" t="n"/>
      <c r="B148" s="15" t="n"/>
      <c r="C148" s="15" t="n"/>
      <c r="D148" s="15" t="n"/>
      <c r="E148" s="16" t="n"/>
      <c r="F148" s="16" t="n"/>
      <c r="G148" s="16" t="n"/>
      <c r="H148" s="17" t="n"/>
      <c r="I148" s="18" t="n"/>
      <c r="J148" s="18" t="n"/>
      <c r="K148" s="19" t="n"/>
      <c r="L148" s="20">
        <f>IF($B148="","",IFERROR(VLOOKUP($B148,'تنظیمات'!$A$4:$C$43,2,FALSE),1))</f>
        <v/>
      </c>
      <c r="M148" s="21">
        <f>IF($B148="","",IFERROR(VLOOKUP($B148,'تنظیمات'!$A$4:$C$43,3,FALSE),"USD"))</f>
        <v/>
      </c>
      <c r="N148" s="22">
        <f>IF(OR($E148="",$F148="",$H148="",$L148=""),"",ABS($E148-$F148)*$H148*IF($M148="BASE",$L148/$E148,$L148))</f>
        <v/>
      </c>
      <c r="O148" s="22">
        <f>IF($J148&lt;&gt;"",$J148,IF(OR($E148="",$G148="",$H148="",$L148=""),"",($G148-$E148)*IF($C148="فروش",-1,1)*$H148*IF($M148="BASE",$L148/$G148,$L148)))</f>
        <v/>
      </c>
      <c r="P148" s="22">
        <f>IF($O148="","",$O148-N($I148))</f>
        <v/>
      </c>
      <c r="Q148" s="23">
        <f>IF(OR($P148="",$N148="",$N148=0),"",$P148/$N148)</f>
        <v/>
      </c>
      <c r="R148" s="21">
        <f>IF($P148="","",IF($P148&gt;0,"برد",IF($P148&lt;0,"باخت","سر به سر")))</f>
        <v/>
      </c>
      <c r="S148" s="22">
        <f>IF($P148="","",SUM($P$5:$P148))</f>
        <v/>
      </c>
      <c r="T148" s="24">
        <f>IF($R148="باخت",N($T147)+1,0)</f>
        <v/>
      </c>
      <c r="U148" s="22">
        <f>IF($S148="","",$S148-MAX($S$5:$S148))</f>
        <v/>
      </c>
    </row>
    <row r="149">
      <c r="A149" s="14" t="n"/>
      <c r="B149" s="15" t="n"/>
      <c r="C149" s="15" t="n"/>
      <c r="D149" s="15" t="n"/>
      <c r="E149" s="16" t="n"/>
      <c r="F149" s="16" t="n"/>
      <c r="G149" s="16" t="n"/>
      <c r="H149" s="17" t="n"/>
      <c r="I149" s="18" t="n"/>
      <c r="J149" s="18" t="n"/>
      <c r="K149" s="19" t="n"/>
      <c r="L149" s="20">
        <f>IF($B149="","",IFERROR(VLOOKUP($B149,'تنظیمات'!$A$4:$C$43,2,FALSE),1))</f>
        <v/>
      </c>
      <c r="M149" s="21">
        <f>IF($B149="","",IFERROR(VLOOKUP($B149,'تنظیمات'!$A$4:$C$43,3,FALSE),"USD"))</f>
        <v/>
      </c>
      <c r="N149" s="22">
        <f>IF(OR($E149="",$F149="",$H149="",$L149=""),"",ABS($E149-$F149)*$H149*IF($M149="BASE",$L149/$E149,$L149))</f>
        <v/>
      </c>
      <c r="O149" s="22">
        <f>IF($J149&lt;&gt;"",$J149,IF(OR($E149="",$G149="",$H149="",$L149=""),"",($G149-$E149)*IF($C149="فروش",-1,1)*$H149*IF($M149="BASE",$L149/$G149,$L149)))</f>
        <v/>
      </c>
      <c r="P149" s="22">
        <f>IF($O149="","",$O149-N($I149))</f>
        <v/>
      </c>
      <c r="Q149" s="23">
        <f>IF(OR($P149="",$N149="",$N149=0),"",$P149/$N149)</f>
        <v/>
      </c>
      <c r="R149" s="21">
        <f>IF($P149="","",IF($P149&gt;0,"برد",IF($P149&lt;0,"باخت","سر به سر")))</f>
        <v/>
      </c>
      <c r="S149" s="22">
        <f>IF($P149="","",SUM($P$5:$P149))</f>
        <v/>
      </c>
      <c r="T149" s="24">
        <f>IF($R149="باخت",N($T148)+1,0)</f>
        <v/>
      </c>
      <c r="U149" s="22">
        <f>IF($S149="","",$S149-MAX($S$5:$S149))</f>
        <v/>
      </c>
    </row>
    <row r="150">
      <c r="A150" s="14" t="n"/>
      <c r="B150" s="15" t="n"/>
      <c r="C150" s="15" t="n"/>
      <c r="D150" s="15" t="n"/>
      <c r="E150" s="16" t="n"/>
      <c r="F150" s="16" t="n"/>
      <c r="G150" s="16" t="n"/>
      <c r="H150" s="17" t="n"/>
      <c r="I150" s="18" t="n"/>
      <c r="J150" s="18" t="n"/>
      <c r="K150" s="19" t="n"/>
      <c r="L150" s="20">
        <f>IF($B150="","",IFERROR(VLOOKUP($B150,'تنظیمات'!$A$4:$C$43,2,FALSE),1))</f>
        <v/>
      </c>
      <c r="M150" s="21">
        <f>IF($B150="","",IFERROR(VLOOKUP($B150,'تنظیمات'!$A$4:$C$43,3,FALSE),"USD"))</f>
        <v/>
      </c>
      <c r="N150" s="22">
        <f>IF(OR($E150="",$F150="",$H150="",$L150=""),"",ABS($E150-$F150)*$H150*IF($M150="BASE",$L150/$E150,$L150))</f>
        <v/>
      </c>
      <c r="O150" s="22">
        <f>IF($J150&lt;&gt;"",$J150,IF(OR($E150="",$G150="",$H150="",$L150=""),"",($G150-$E150)*IF($C150="فروش",-1,1)*$H150*IF($M150="BASE",$L150/$G150,$L150)))</f>
        <v/>
      </c>
      <c r="P150" s="22">
        <f>IF($O150="","",$O150-N($I150))</f>
        <v/>
      </c>
      <c r="Q150" s="23">
        <f>IF(OR($P150="",$N150="",$N150=0),"",$P150/$N150)</f>
        <v/>
      </c>
      <c r="R150" s="21">
        <f>IF($P150="","",IF($P150&gt;0,"برد",IF($P150&lt;0,"باخت","سر به سر")))</f>
        <v/>
      </c>
      <c r="S150" s="22">
        <f>IF($P150="","",SUM($P$5:$P150))</f>
        <v/>
      </c>
      <c r="T150" s="24">
        <f>IF($R150="باخت",N($T149)+1,0)</f>
        <v/>
      </c>
      <c r="U150" s="22">
        <f>IF($S150="","",$S150-MAX($S$5:$S150))</f>
        <v/>
      </c>
    </row>
    <row r="151">
      <c r="A151" s="14" t="n"/>
      <c r="B151" s="15" t="n"/>
      <c r="C151" s="15" t="n"/>
      <c r="D151" s="15" t="n"/>
      <c r="E151" s="16" t="n"/>
      <c r="F151" s="16" t="n"/>
      <c r="G151" s="16" t="n"/>
      <c r="H151" s="17" t="n"/>
      <c r="I151" s="18" t="n"/>
      <c r="J151" s="18" t="n"/>
      <c r="K151" s="19" t="n"/>
      <c r="L151" s="20">
        <f>IF($B151="","",IFERROR(VLOOKUP($B151,'تنظیمات'!$A$4:$C$43,2,FALSE),1))</f>
        <v/>
      </c>
      <c r="M151" s="21">
        <f>IF($B151="","",IFERROR(VLOOKUP($B151,'تنظیمات'!$A$4:$C$43,3,FALSE),"USD"))</f>
        <v/>
      </c>
      <c r="N151" s="22">
        <f>IF(OR($E151="",$F151="",$H151="",$L151=""),"",ABS($E151-$F151)*$H151*IF($M151="BASE",$L151/$E151,$L151))</f>
        <v/>
      </c>
      <c r="O151" s="22">
        <f>IF($J151&lt;&gt;"",$J151,IF(OR($E151="",$G151="",$H151="",$L151=""),"",($G151-$E151)*IF($C151="فروش",-1,1)*$H151*IF($M151="BASE",$L151/$G151,$L151)))</f>
        <v/>
      </c>
      <c r="P151" s="22">
        <f>IF($O151="","",$O151-N($I151))</f>
        <v/>
      </c>
      <c r="Q151" s="23">
        <f>IF(OR($P151="",$N151="",$N151=0),"",$P151/$N151)</f>
        <v/>
      </c>
      <c r="R151" s="21">
        <f>IF($P151="","",IF($P151&gt;0,"برد",IF($P151&lt;0,"باخت","سر به سر")))</f>
        <v/>
      </c>
      <c r="S151" s="22">
        <f>IF($P151="","",SUM($P$5:$P151))</f>
        <v/>
      </c>
      <c r="T151" s="24">
        <f>IF($R151="باخت",N($T150)+1,0)</f>
        <v/>
      </c>
      <c r="U151" s="22">
        <f>IF($S151="","",$S151-MAX($S$5:$S151))</f>
        <v/>
      </c>
    </row>
    <row r="152">
      <c r="A152" s="14" t="n"/>
      <c r="B152" s="15" t="n"/>
      <c r="C152" s="15" t="n"/>
      <c r="D152" s="15" t="n"/>
      <c r="E152" s="16" t="n"/>
      <c r="F152" s="16" t="n"/>
      <c r="G152" s="16" t="n"/>
      <c r="H152" s="17" t="n"/>
      <c r="I152" s="18" t="n"/>
      <c r="J152" s="18" t="n"/>
      <c r="K152" s="19" t="n"/>
      <c r="L152" s="20">
        <f>IF($B152="","",IFERROR(VLOOKUP($B152,'تنظیمات'!$A$4:$C$43,2,FALSE),1))</f>
        <v/>
      </c>
      <c r="M152" s="21">
        <f>IF($B152="","",IFERROR(VLOOKUP($B152,'تنظیمات'!$A$4:$C$43,3,FALSE),"USD"))</f>
        <v/>
      </c>
      <c r="N152" s="22">
        <f>IF(OR($E152="",$F152="",$H152="",$L152=""),"",ABS($E152-$F152)*$H152*IF($M152="BASE",$L152/$E152,$L152))</f>
        <v/>
      </c>
      <c r="O152" s="22">
        <f>IF($J152&lt;&gt;"",$J152,IF(OR($E152="",$G152="",$H152="",$L152=""),"",($G152-$E152)*IF($C152="فروش",-1,1)*$H152*IF($M152="BASE",$L152/$G152,$L152)))</f>
        <v/>
      </c>
      <c r="P152" s="22">
        <f>IF($O152="","",$O152-N($I152))</f>
        <v/>
      </c>
      <c r="Q152" s="23">
        <f>IF(OR($P152="",$N152="",$N152=0),"",$P152/$N152)</f>
        <v/>
      </c>
      <c r="R152" s="21">
        <f>IF($P152="","",IF($P152&gt;0,"برد",IF($P152&lt;0,"باخت","سر به سر")))</f>
        <v/>
      </c>
      <c r="S152" s="22">
        <f>IF($P152="","",SUM($P$5:$P152))</f>
        <v/>
      </c>
      <c r="T152" s="24">
        <f>IF($R152="باخت",N($T151)+1,0)</f>
        <v/>
      </c>
      <c r="U152" s="22">
        <f>IF($S152="","",$S152-MAX($S$5:$S152))</f>
        <v/>
      </c>
    </row>
    <row r="153">
      <c r="A153" s="14" t="n"/>
      <c r="B153" s="15" t="n"/>
      <c r="C153" s="15" t="n"/>
      <c r="D153" s="15" t="n"/>
      <c r="E153" s="16" t="n"/>
      <c r="F153" s="16" t="n"/>
      <c r="G153" s="16" t="n"/>
      <c r="H153" s="17" t="n"/>
      <c r="I153" s="18" t="n"/>
      <c r="J153" s="18" t="n"/>
      <c r="K153" s="19" t="n"/>
      <c r="L153" s="20">
        <f>IF($B153="","",IFERROR(VLOOKUP($B153,'تنظیمات'!$A$4:$C$43,2,FALSE),1))</f>
        <v/>
      </c>
      <c r="M153" s="21">
        <f>IF($B153="","",IFERROR(VLOOKUP($B153,'تنظیمات'!$A$4:$C$43,3,FALSE),"USD"))</f>
        <v/>
      </c>
      <c r="N153" s="22">
        <f>IF(OR($E153="",$F153="",$H153="",$L153=""),"",ABS($E153-$F153)*$H153*IF($M153="BASE",$L153/$E153,$L153))</f>
        <v/>
      </c>
      <c r="O153" s="22">
        <f>IF($J153&lt;&gt;"",$J153,IF(OR($E153="",$G153="",$H153="",$L153=""),"",($G153-$E153)*IF($C153="فروش",-1,1)*$H153*IF($M153="BASE",$L153/$G153,$L153)))</f>
        <v/>
      </c>
      <c r="P153" s="22">
        <f>IF($O153="","",$O153-N($I153))</f>
        <v/>
      </c>
      <c r="Q153" s="23">
        <f>IF(OR($P153="",$N153="",$N153=0),"",$P153/$N153)</f>
        <v/>
      </c>
      <c r="R153" s="21">
        <f>IF($P153="","",IF($P153&gt;0,"برد",IF($P153&lt;0,"باخت","سر به سر")))</f>
        <v/>
      </c>
      <c r="S153" s="22">
        <f>IF($P153="","",SUM($P$5:$P153))</f>
        <v/>
      </c>
      <c r="T153" s="24">
        <f>IF($R153="باخت",N($T152)+1,0)</f>
        <v/>
      </c>
      <c r="U153" s="22">
        <f>IF($S153="","",$S153-MAX($S$5:$S153))</f>
        <v/>
      </c>
    </row>
    <row r="154">
      <c r="A154" s="14" t="n"/>
      <c r="B154" s="15" t="n"/>
      <c r="C154" s="15" t="n"/>
      <c r="D154" s="15" t="n"/>
      <c r="E154" s="16" t="n"/>
      <c r="F154" s="16" t="n"/>
      <c r="G154" s="16" t="n"/>
      <c r="H154" s="17" t="n"/>
      <c r="I154" s="18" t="n"/>
      <c r="J154" s="18" t="n"/>
      <c r="K154" s="19" t="n"/>
      <c r="L154" s="20">
        <f>IF($B154="","",IFERROR(VLOOKUP($B154,'تنظیمات'!$A$4:$C$43,2,FALSE),1))</f>
        <v/>
      </c>
      <c r="M154" s="21">
        <f>IF($B154="","",IFERROR(VLOOKUP($B154,'تنظیمات'!$A$4:$C$43,3,FALSE),"USD"))</f>
        <v/>
      </c>
      <c r="N154" s="22">
        <f>IF(OR($E154="",$F154="",$H154="",$L154=""),"",ABS($E154-$F154)*$H154*IF($M154="BASE",$L154/$E154,$L154))</f>
        <v/>
      </c>
      <c r="O154" s="22">
        <f>IF($J154&lt;&gt;"",$J154,IF(OR($E154="",$G154="",$H154="",$L154=""),"",($G154-$E154)*IF($C154="فروش",-1,1)*$H154*IF($M154="BASE",$L154/$G154,$L154)))</f>
        <v/>
      </c>
      <c r="P154" s="22">
        <f>IF($O154="","",$O154-N($I154))</f>
        <v/>
      </c>
      <c r="Q154" s="23">
        <f>IF(OR($P154="",$N154="",$N154=0),"",$P154/$N154)</f>
        <v/>
      </c>
      <c r="R154" s="21">
        <f>IF($P154="","",IF($P154&gt;0,"برد",IF($P154&lt;0,"باخت","سر به سر")))</f>
        <v/>
      </c>
      <c r="S154" s="22">
        <f>IF($P154="","",SUM($P$5:$P154))</f>
        <v/>
      </c>
      <c r="T154" s="24">
        <f>IF($R154="باخت",N($T153)+1,0)</f>
        <v/>
      </c>
      <c r="U154" s="22">
        <f>IF($S154="","",$S154-MAX($S$5:$S154))</f>
        <v/>
      </c>
    </row>
    <row r="155">
      <c r="A155" s="14" t="n"/>
      <c r="B155" s="15" t="n"/>
      <c r="C155" s="15" t="n"/>
      <c r="D155" s="15" t="n"/>
      <c r="E155" s="16" t="n"/>
      <c r="F155" s="16" t="n"/>
      <c r="G155" s="16" t="n"/>
      <c r="H155" s="17" t="n"/>
      <c r="I155" s="18" t="n"/>
      <c r="J155" s="18" t="n"/>
      <c r="K155" s="19" t="n"/>
      <c r="L155" s="20">
        <f>IF($B155="","",IFERROR(VLOOKUP($B155,'تنظیمات'!$A$4:$C$43,2,FALSE),1))</f>
        <v/>
      </c>
      <c r="M155" s="21">
        <f>IF($B155="","",IFERROR(VLOOKUP($B155,'تنظیمات'!$A$4:$C$43,3,FALSE),"USD"))</f>
        <v/>
      </c>
      <c r="N155" s="22">
        <f>IF(OR($E155="",$F155="",$H155="",$L155=""),"",ABS($E155-$F155)*$H155*IF($M155="BASE",$L155/$E155,$L155))</f>
        <v/>
      </c>
      <c r="O155" s="22">
        <f>IF($J155&lt;&gt;"",$J155,IF(OR($E155="",$G155="",$H155="",$L155=""),"",($G155-$E155)*IF($C155="فروش",-1,1)*$H155*IF($M155="BASE",$L155/$G155,$L155)))</f>
        <v/>
      </c>
      <c r="P155" s="22">
        <f>IF($O155="","",$O155-N($I155))</f>
        <v/>
      </c>
      <c r="Q155" s="23">
        <f>IF(OR($P155="",$N155="",$N155=0),"",$P155/$N155)</f>
        <v/>
      </c>
      <c r="R155" s="21">
        <f>IF($P155="","",IF($P155&gt;0,"برد",IF($P155&lt;0,"باخت","سر به سر")))</f>
        <v/>
      </c>
      <c r="S155" s="22">
        <f>IF($P155="","",SUM($P$5:$P155))</f>
        <v/>
      </c>
      <c r="T155" s="24">
        <f>IF($R155="باخت",N($T154)+1,0)</f>
        <v/>
      </c>
      <c r="U155" s="22">
        <f>IF($S155="","",$S155-MAX($S$5:$S155))</f>
        <v/>
      </c>
    </row>
    <row r="156">
      <c r="A156" s="14" t="n"/>
      <c r="B156" s="15" t="n"/>
      <c r="C156" s="15" t="n"/>
      <c r="D156" s="15" t="n"/>
      <c r="E156" s="16" t="n"/>
      <c r="F156" s="16" t="n"/>
      <c r="G156" s="16" t="n"/>
      <c r="H156" s="17" t="n"/>
      <c r="I156" s="18" t="n"/>
      <c r="J156" s="18" t="n"/>
      <c r="K156" s="19" t="n"/>
      <c r="L156" s="20">
        <f>IF($B156="","",IFERROR(VLOOKUP($B156,'تنظیمات'!$A$4:$C$43,2,FALSE),1))</f>
        <v/>
      </c>
      <c r="M156" s="21">
        <f>IF($B156="","",IFERROR(VLOOKUP($B156,'تنظیمات'!$A$4:$C$43,3,FALSE),"USD"))</f>
        <v/>
      </c>
      <c r="N156" s="22">
        <f>IF(OR($E156="",$F156="",$H156="",$L156=""),"",ABS($E156-$F156)*$H156*IF($M156="BASE",$L156/$E156,$L156))</f>
        <v/>
      </c>
      <c r="O156" s="22">
        <f>IF($J156&lt;&gt;"",$J156,IF(OR($E156="",$G156="",$H156="",$L156=""),"",($G156-$E156)*IF($C156="فروش",-1,1)*$H156*IF($M156="BASE",$L156/$G156,$L156)))</f>
        <v/>
      </c>
      <c r="P156" s="22">
        <f>IF($O156="","",$O156-N($I156))</f>
        <v/>
      </c>
      <c r="Q156" s="23">
        <f>IF(OR($P156="",$N156="",$N156=0),"",$P156/$N156)</f>
        <v/>
      </c>
      <c r="R156" s="21">
        <f>IF($P156="","",IF($P156&gt;0,"برد",IF($P156&lt;0,"باخت","سر به سر")))</f>
        <v/>
      </c>
      <c r="S156" s="22">
        <f>IF($P156="","",SUM($P$5:$P156))</f>
        <v/>
      </c>
      <c r="T156" s="24">
        <f>IF($R156="باخت",N($T155)+1,0)</f>
        <v/>
      </c>
      <c r="U156" s="22">
        <f>IF($S156="","",$S156-MAX($S$5:$S156))</f>
        <v/>
      </c>
    </row>
    <row r="157">
      <c r="A157" s="14" t="n"/>
      <c r="B157" s="15" t="n"/>
      <c r="C157" s="15" t="n"/>
      <c r="D157" s="15" t="n"/>
      <c r="E157" s="16" t="n"/>
      <c r="F157" s="16" t="n"/>
      <c r="G157" s="16" t="n"/>
      <c r="H157" s="17" t="n"/>
      <c r="I157" s="18" t="n"/>
      <c r="J157" s="18" t="n"/>
      <c r="K157" s="19" t="n"/>
      <c r="L157" s="20">
        <f>IF($B157="","",IFERROR(VLOOKUP($B157,'تنظیمات'!$A$4:$C$43,2,FALSE),1))</f>
        <v/>
      </c>
      <c r="M157" s="21">
        <f>IF($B157="","",IFERROR(VLOOKUP($B157,'تنظیمات'!$A$4:$C$43,3,FALSE),"USD"))</f>
        <v/>
      </c>
      <c r="N157" s="22">
        <f>IF(OR($E157="",$F157="",$H157="",$L157=""),"",ABS($E157-$F157)*$H157*IF($M157="BASE",$L157/$E157,$L157))</f>
        <v/>
      </c>
      <c r="O157" s="22">
        <f>IF($J157&lt;&gt;"",$J157,IF(OR($E157="",$G157="",$H157="",$L157=""),"",($G157-$E157)*IF($C157="فروش",-1,1)*$H157*IF($M157="BASE",$L157/$G157,$L157)))</f>
        <v/>
      </c>
      <c r="P157" s="22">
        <f>IF($O157="","",$O157-N($I157))</f>
        <v/>
      </c>
      <c r="Q157" s="23">
        <f>IF(OR($P157="",$N157="",$N157=0),"",$P157/$N157)</f>
        <v/>
      </c>
      <c r="R157" s="21">
        <f>IF($P157="","",IF($P157&gt;0,"برد",IF($P157&lt;0,"باخت","سر به سر")))</f>
        <v/>
      </c>
      <c r="S157" s="22">
        <f>IF($P157="","",SUM($P$5:$P157))</f>
        <v/>
      </c>
      <c r="T157" s="24">
        <f>IF($R157="باخت",N($T156)+1,0)</f>
        <v/>
      </c>
      <c r="U157" s="22">
        <f>IF($S157="","",$S157-MAX($S$5:$S157))</f>
        <v/>
      </c>
    </row>
    <row r="158">
      <c r="A158" s="14" t="n"/>
      <c r="B158" s="15" t="n"/>
      <c r="C158" s="15" t="n"/>
      <c r="D158" s="15" t="n"/>
      <c r="E158" s="16" t="n"/>
      <c r="F158" s="16" t="n"/>
      <c r="G158" s="16" t="n"/>
      <c r="H158" s="17" t="n"/>
      <c r="I158" s="18" t="n"/>
      <c r="J158" s="18" t="n"/>
      <c r="K158" s="19" t="n"/>
      <c r="L158" s="20">
        <f>IF($B158="","",IFERROR(VLOOKUP($B158,'تنظیمات'!$A$4:$C$43,2,FALSE),1))</f>
        <v/>
      </c>
      <c r="M158" s="21">
        <f>IF($B158="","",IFERROR(VLOOKUP($B158,'تنظیمات'!$A$4:$C$43,3,FALSE),"USD"))</f>
        <v/>
      </c>
      <c r="N158" s="22">
        <f>IF(OR($E158="",$F158="",$H158="",$L158=""),"",ABS($E158-$F158)*$H158*IF($M158="BASE",$L158/$E158,$L158))</f>
        <v/>
      </c>
      <c r="O158" s="22">
        <f>IF($J158&lt;&gt;"",$J158,IF(OR($E158="",$G158="",$H158="",$L158=""),"",($G158-$E158)*IF($C158="فروش",-1,1)*$H158*IF($M158="BASE",$L158/$G158,$L158)))</f>
        <v/>
      </c>
      <c r="P158" s="22">
        <f>IF($O158="","",$O158-N($I158))</f>
        <v/>
      </c>
      <c r="Q158" s="23">
        <f>IF(OR($P158="",$N158="",$N158=0),"",$P158/$N158)</f>
        <v/>
      </c>
      <c r="R158" s="21">
        <f>IF($P158="","",IF($P158&gt;0,"برد",IF($P158&lt;0,"باخت","سر به سر")))</f>
        <v/>
      </c>
      <c r="S158" s="22">
        <f>IF($P158="","",SUM($P$5:$P158))</f>
        <v/>
      </c>
      <c r="T158" s="24">
        <f>IF($R158="باخت",N($T157)+1,0)</f>
        <v/>
      </c>
      <c r="U158" s="22">
        <f>IF($S158="","",$S158-MAX($S$5:$S158))</f>
        <v/>
      </c>
    </row>
    <row r="159">
      <c r="A159" s="14" t="n"/>
      <c r="B159" s="15" t="n"/>
      <c r="C159" s="15" t="n"/>
      <c r="D159" s="15" t="n"/>
      <c r="E159" s="16" t="n"/>
      <c r="F159" s="16" t="n"/>
      <c r="G159" s="16" t="n"/>
      <c r="H159" s="17" t="n"/>
      <c r="I159" s="18" t="n"/>
      <c r="J159" s="18" t="n"/>
      <c r="K159" s="19" t="n"/>
      <c r="L159" s="20">
        <f>IF($B159="","",IFERROR(VLOOKUP($B159,'تنظیمات'!$A$4:$C$43,2,FALSE),1))</f>
        <v/>
      </c>
      <c r="M159" s="21">
        <f>IF($B159="","",IFERROR(VLOOKUP($B159,'تنظیمات'!$A$4:$C$43,3,FALSE),"USD"))</f>
        <v/>
      </c>
      <c r="N159" s="22">
        <f>IF(OR($E159="",$F159="",$H159="",$L159=""),"",ABS($E159-$F159)*$H159*IF($M159="BASE",$L159/$E159,$L159))</f>
        <v/>
      </c>
      <c r="O159" s="22">
        <f>IF($J159&lt;&gt;"",$J159,IF(OR($E159="",$G159="",$H159="",$L159=""),"",($G159-$E159)*IF($C159="فروش",-1,1)*$H159*IF($M159="BASE",$L159/$G159,$L159)))</f>
        <v/>
      </c>
      <c r="P159" s="22">
        <f>IF($O159="","",$O159-N($I159))</f>
        <v/>
      </c>
      <c r="Q159" s="23">
        <f>IF(OR($P159="",$N159="",$N159=0),"",$P159/$N159)</f>
        <v/>
      </c>
      <c r="R159" s="21">
        <f>IF($P159="","",IF($P159&gt;0,"برد",IF($P159&lt;0,"باخت","سر به سر")))</f>
        <v/>
      </c>
      <c r="S159" s="22">
        <f>IF($P159="","",SUM($P$5:$P159))</f>
        <v/>
      </c>
      <c r="T159" s="24">
        <f>IF($R159="باخت",N($T158)+1,0)</f>
        <v/>
      </c>
      <c r="U159" s="22">
        <f>IF($S159="","",$S159-MAX($S$5:$S159))</f>
        <v/>
      </c>
    </row>
    <row r="160">
      <c r="A160" s="14" t="n"/>
      <c r="B160" s="15" t="n"/>
      <c r="C160" s="15" t="n"/>
      <c r="D160" s="15" t="n"/>
      <c r="E160" s="16" t="n"/>
      <c r="F160" s="16" t="n"/>
      <c r="G160" s="16" t="n"/>
      <c r="H160" s="17" t="n"/>
      <c r="I160" s="18" t="n"/>
      <c r="J160" s="18" t="n"/>
      <c r="K160" s="19" t="n"/>
      <c r="L160" s="20">
        <f>IF($B160="","",IFERROR(VLOOKUP($B160,'تنظیمات'!$A$4:$C$43,2,FALSE),1))</f>
        <v/>
      </c>
      <c r="M160" s="21">
        <f>IF($B160="","",IFERROR(VLOOKUP($B160,'تنظیمات'!$A$4:$C$43,3,FALSE),"USD"))</f>
        <v/>
      </c>
      <c r="N160" s="22">
        <f>IF(OR($E160="",$F160="",$H160="",$L160=""),"",ABS($E160-$F160)*$H160*IF($M160="BASE",$L160/$E160,$L160))</f>
        <v/>
      </c>
      <c r="O160" s="22">
        <f>IF($J160&lt;&gt;"",$J160,IF(OR($E160="",$G160="",$H160="",$L160=""),"",($G160-$E160)*IF($C160="فروش",-1,1)*$H160*IF($M160="BASE",$L160/$G160,$L160)))</f>
        <v/>
      </c>
      <c r="P160" s="22">
        <f>IF($O160="","",$O160-N($I160))</f>
        <v/>
      </c>
      <c r="Q160" s="23">
        <f>IF(OR($P160="",$N160="",$N160=0),"",$P160/$N160)</f>
        <v/>
      </c>
      <c r="R160" s="21">
        <f>IF($P160="","",IF($P160&gt;0,"برد",IF($P160&lt;0,"باخت","سر به سر")))</f>
        <v/>
      </c>
      <c r="S160" s="22">
        <f>IF($P160="","",SUM($P$5:$P160))</f>
        <v/>
      </c>
      <c r="T160" s="24">
        <f>IF($R160="باخت",N($T159)+1,0)</f>
        <v/>
      </c>
      <c r="U160" s="22">
        <f>IF($S160="","",$S160-MAX($S$5:$S160))</f>
        <v/>
      </c>
    </row>
    <row r="161">
      <c r="A161" s="14" t="n"/>
      <c r="B161" s="15" t="n"/>
      <c r="C161" s="15" t="n"/>
      <c r="D161" s="15" t="n"/>
      <c r="E161" s="16" t="n"/>
      <c r="F161" s="16" t="n"/>
      <c r="G161" s="16" t="n"/>
      <c r="H161" s="17" t="n"/>
      <c r="I161" s="18" t="n"/>
      <c r="J161" s="18" t="n"/>
      <c r="K161" s="19" t="n"/>
      <c r="L161" s="20">
        <f>IF($B161="","",IFERROR(VLOOKUP($B161,'تنظیمات'!$A$4:$C$43,2,FALSE),1))</f>
        <v/>
      </c>
      <c r="M161" s="21">
        <f>IF($B161="","",IFERROR(VLOOKUP($B161,'تنظیمات'!$A$4:$C$43,3,FALSE),"USD"))</f>
        <v/>
      </c>
      <c r="N161" s="22">
        <f>IF(OR($E161="",$F161="",$H161="",$L161=""),"",ABS($E161-$F161)*$H161*IF($M161="BASE",$L161/$E161,$L161))</f>
        <v/>
      </c>
      <c r="O161" s="22">
        <f>IF($J161&lt;&gt;"",$J161,IF(OR($E161="",$G161="",$H161="",$L161=""),"",($G161-$E161)*IF($C161="فروش",-1,1)*$H161*IF($M161="BASE",$L161/$G161,$L161)))</f>
        <v/>
      </c>
      <c r="P161" s="22">
        <f>IF($O161="","",$O161-N($I161))</f>
        <v/>
      </c>
      <c r="Q161" s="23">
        <f>IF(OR($P161="",$N161="",$N161=0),"",$P161/$N161)</f>
        <v/>
      </c>
      <c r="R161" s="21">
        <f>IF($P161="","",IF($P161&gt;0,"برد",IF($P161&lt;0,"باخت","سر به سر")))</f>
        <v/>
      </c>
      <c r="S161" s="22">
        <f>IF($P161="","",SUM($P$5:$P161))</f>
        <v/>
      </c>
      <c r="T161" s="24">
        <f>IF($R161="باخت",N($T160)+1,0)</f>
        <v/>
      </c>
      <c r="U161" s="22">
        <f>IF($S161="","",$S161-MAX($S$5:$S161))</f>
        <v/>
      </c>
    </row>
    <row r="162">
      <c r="A162" s="14" t="n"/>
      <c r="B162" s="15" t="n"/>
      <c r="C162" s="15" t="n"/>
      <c r="D162" s="15" t="n"/>
      <c r="E162" s="16" t="n"/>
      <c r="F162" s="16" t="n"/>
      <c r="G162" s="16" t="n"/>
      <c r="H162" s="17" t="n"/>
      <c r="I162" s="18" t="n"/>
      <c r="J162" s="18" t="n"/>
      <c r="K162" s="19" t="n"/>
      <c r="L162" s="20">
        <f>IF($B162="","",IFERROR(VLOOKUP($B162,'تنظیمات'!$A$4:$C$43,2,FALSE),1))</f>
        <v/>
      </c>
      <c r="M162" s="21">
        <f>IF($B162="","",IFERROR(VLOOKUP($B162,'تنظیمات'!$A$4:$C$43,3,FALSE),"USD"))</f>
        <v/>
      </c>
      <c r="N162" s="22">
        <f>IF(OR($E162="",$F162="",$H162="",$L162=""),"",ABS($E162-$F162)*$H162*IF($M162="BASE",$L162/$E162,$L162))</f>
        <v/>
      </c>
      <c r="O162" s="22">
        <f>IF($J162&lt;&gt;"",$J162,IF(OR($E162="",$G162="",$H162="",$L162=""),"",($G162-$E162)*IF($C162="فروش",-1,1)*$H162*IF($M162="BASE",$L162/$G162,$L162)))</f>
        <v/>
      </c>
      <c r="P162" s="22">
        <f>IF($O162="","",$O162-N($I162))</f>
        <v/>
      </c>
      <c r="Q162" s="23">
        <f>IF(OR($P162="",$N162="",$N162=0),"",$P162/$N162)</f>
        <v/>
      </c>
      <c r="R162" s="21">
        <f>IF($P162="","",IF($P162&gt;0,"برد",IF($P162&lt;0,"باخت","سر به سر")))</f>
        <v/>
      </c>
      <c r="S162" s="22">
        <f>IF($P162="","",SUM($P$5:$P162))</f>
        <v/>
      </c>
      <c r="T162" s="24">
        <f>IF($R162="باخت",N($T161)+1,0)</f>
        <v/>
      </c>
      <c r="U162" s="22">
        <f>IF($S162="","",$S162-MAX($S$5:$S162))</f>
        <v/>
      </c>
    </row>
    <row r="163">
      <c r="A163" s="14" t="n"/>
      <c r="B163" s="15" t="n"/>
      <c r="C163" s="15" t="n"/>
      <c r="D163" s="15" t="n"/>
      <c r="E163" s="16" t="n"/>
      <c r="F163" s="16" t="n"/>
      <c r="G163" s="16" t="n"/>
      <c r="H163" s="17" t="n"/>
      <c r="I163" s="18" t="n"/>
      <c r="J163" s="18" t="n"/>
      <c r="K163" s="19" t="n"/>
      <c r="L163" s="20">
        <f>IF($B163="","",IFERROR(VLOOKUP($B163,'تنظیمات'!$A$4:$C$43,2,FALSE),1))</f>
        <v/>
      </c>
      <c r="M163" s="21">
        <f>IF($B163="","",IFERROR(VLOOKUP($B163,'تنظیمات'!$A$4:$C$43,3,FALSE),"USD"))</f>
        <v/>
      </c>
      <c r="N163" s="22">
        <f>IF(OR($E163="",$F163="",$H163="",$L163=""),"",ABS($E163-$F163)*$H163*IF($M163="BASE",$L163/$E163,$L163))</f>
        <v/>
      </c>
      <c r="O163" s="22">
        <f>IF($J163&lt;&gt;"",$J163,IF(OR($E163="",$G163="",$H163="",$L163=""),"",($G163-$E163)*IF($C163="فروش",-1,1)*$H163*IF($M163="BASE",$L163/$G163,$L163)))</f>
        <v/>
      </c>
      <c r="P163" s="22">
        <f>IF($O163="","",$O163-N($I163))</f>
        <v/>
      </c>
      <c r="Q163" s="23">
        <f>IF(OR($P163="",$N163="",$N163=0),"",$P163/$N163)</f>
        <v/>
      </c>
      <c r="R163" s="21">
        <f>IF($P163="","",IF($P163&gt;0,"برد",IF($P163&lt;0,"باخت","سر به سر")))</f>
        <v/>
      </c>
      <c r="S163" s="22">
        <f>IF($P163="","",SUM($P$5:$P163))</f>
        <v/>
      </c>
      <c r="T163" s="24">
        <f>IF($R163="باخت",N($T162)+1,0)</f>
        <v/>
      </c>
      <c r="U163" s="22">
        <f>IF($S163="","",$S163-MAX($S$5:$S163))</f>
        <v/>
      </c>
    </row>
    <row r="164">
      <c r="A164" s="14" t="n"/>
      <c r="B164" s="15" t="n"/>
      <c r="C164" s="15" t="n"/>
      <c r="D164" s="15" t="n"/>
      <c r="E164" s="16" t="n"/>
      <c r="F164" s="16" t="n"/>
      <c r="G164" s="16" t="n"/>
      <c r="H164" s="17" t="n"/>
      <c r="I164" s="18" t="n"/>
      <c r="J164" s="18" t="n"/>
      <c r="K164" s="19" t="n"/>
      <c r="L164" s="20">
        <f>IF($B164="","",IFERROR(VLOOKUP($B164,'تنظیمات'!$A$4:$C$43,2,FALSE),1))</f>
        <v/>
      </c>
      <c r="M164" s="21">
        <f>IF($B164="","",IFERROR(VLOOKUP($B164,'تنظیمات'!$A$4:$C$43,3,FALSE),"USD"))</f>
        <v/>
      </c>
      <c r="N164" s="22">
        <f>IF(OR($E164="",$F164="",$H164="",$L164=""),"",ABS($E164-$F164)*$H164*IF($M164="BASE",$L164/$E164,$L164))</f>
        <v/>
      </c>
      <c r="O164" s="22">
        <f>IF($J164&lt;&gt;"",$J164,IF(OR($E164="",$G164="",$H164="",$L164=""),"",($G164-$E164)*IF($C164="فروش",-1,1)*$H164*IF($M164="BASE",$L164/$G164,$L164)))</f>
        <v/>
      </c>
      <c r="P164" s="22">
        <f>IF($O164="","",$O164-N($I164))</f>
        <v/>
      </c>
      <c r="Q164" s="23">
        <f>IF(OR($P164="",$N164="",$N164=0),"",$P164/$N164)</f>
        <v/>
      </c>
      <c r="R164" s="21">
        <f>IF($P164="","",IF($P164&gt;0,"برد",IF($P164&lt;0,"باخت","سر به سر")))</f>
        <v/>
      </c>
      <c r="S164" s="22">
        <f>IF($P164="","",SUM($P$5:$P164))</f>
        <v/>
      </c>
      <c r="T164" s="24">
        <f>IF($R164="باخت",N($T163)+1,0)</f>
        <v/>
      </c>
      <c r="U164" s="22">
        <f>IF($S164="","",$S164-MAX($S$5:$S164))</f>
        <v/>
      </c>
    </row>
    <row r="165">
      <c r="A165" s="14" t="n"/>
      <c r="B165" s="15" t="n"/>
      <c r="C165" s="15" t="n"/>
      <c r="D165" s="15" t="n"/>
      <c r="E165" s="16" t="n"/>
      <c r="F165" s="16" t="n"/>
      <c r="G165" s="16" t="n"/>
      <c r="H165" s="17" t="n"/>
      <c r="I165" s="18" t="n"/>
      <c r="J165" s="18" t="n"/>
      <c r="K165" s="19" t="n"/>
      <c r="L165" s="20">
        <f>IF($B165="","",IFERROR(VLOOKUP($B165,'تنظیمات'!$A$4:$C$43,2,FALSE),1))</f>
        <v/>
      </c>
      <c r="M165" s="21">
        <f>IF($B165="","",IFERROR(VLOOKUP($B165,'تنظیمات'!$A$4:$C$43,3,FALSE),"USD"))</f>
        <v/>
      </c>
      <c r="N165" s="22">
        <f>IF(OR($E165="",$F165="",$H165="",$L165=""),"",ABS($E165-$F165)*$H165*IF($M165="BASE",$L165/$E165,$L165))</f>
        <v/>
      </c>
      <c r="O165" s="22">
        <f>IF($J165&lt;&gt;"",$J165,IF(OR($E165="",$G165="",$H165="",$L165=""),"",($G165-$E165)*IF($C165="فروش",-1,1)*$H165*IF($M165="BASE",$L165/$G165,$L165)))</f>
        <v/>
      </c>
      <c r="P165" s="22">
        <f>IF($O165="","",$O165-N($I165))</f>
        <v/>
      </c>
      <c r="Q165" s="23">
        <f>IF(OR($P165="",$N165="",$N165=0),"",$P165/$N165)</f>
        <v/>
      </c>
      <c r="R165" s="21">
        <f>IF($P165="","",IF($P165&gt;0,"برد",IF($P165&lt;0,"باخت","سر به سر")))</f>
        <v/>
      </c>
      <c r="S165" s="22">
        <f>IF($P165="","",SUM($P$5:$P165))</f>
        <v/>
      </c>
      <c r="T165" s="24">
        <f>IF($R165="باخت",N($T164)+1,0)</f>
        <v/>
      </c>
      <c r="U165" s="22">
        <f>IF($S165="","",$S165-MAX($S$5:$S165))</f>
        <v/>
      </c>
    </row>
    <row r="166">
      <c r="A166" s="14" t="n"/>
      <c r="B166" s="15" t="n"/>
      <c r="C166" s="15" t="n"/>
      <c r="D166" s="15" t="n"/>
      <c r="E166" s="16" t="n"/>
      <c r="F166" s="16" t="n"/>
      <c r="G166" s="16" t="n"/>
      <c r="H166" s="17" t="n"/>
      <c r="I166" s="18" t="n"/>
      <c r="J166" s="18" t="n"/>
      <c r="K166" s="19" t="n"/>
      <c r="L166" s="20">
        <f>IF($B166="","",IFERROR(VLOOKUP($B166,'تنظیمات'!$A$4:$C$43,2,FALSE),1))</f>
        <v/>
      </c>
      <c r="M166" s="21">
        <f>IF($B166="","",IFERROR(VLOOKUP($B166,'تنظیمات'!$A$4:$C$43,3,FALSE),"USD"))</f>
        <v/>
      </c>
      <c r="N166" s="22">
        <f>IF(OR($E166="",$F166="",$H166="",$L166=""),"",ABS($E166-$F166)*$H166*IF($M166="BASE",$L166/$E166,$L166))</f>
        <v/>
      </c>
      <c r="O166" s="22">
        <f>IF($J166&lt;&gt;"",$J166,IF(OR($E166="",$G166="",$H166="",$L166=""),"",($G166-$E166)*IF($C166="فروش",-1,1)*$H166*IF($M166="BASE",$L166/$G166,$L166)))</f>
        <v/>
      </c>
      <c r="P166" s="22">
        <f>IF($O166="","",$O166-N($I166))</f>
        <v/>
      </c>
      <c r="Q166" s="23">
        <f>IF(OR($P166="",$N166="",$N166=0),"",$P166/$N166)</f>
        <v/>
      </c>
      <c r="R166" s="21">
        <f>IF($P166="","",IF($P166&gt;0,"برد",IF($P166&lt;0,"باخت","سر به سر")))</f>
        <v/>
      </c>
      <c r="S166" s="22">
        <f>IF($P166="","",SUM($P$5:$P166))</f>
        <v/>
      </c>
      <c r="T166" s="24">
        <f>IF($R166="باخت",N($T165)+1,0)</f>
        <v/>
      </c>
      <c r="U166" s="22">
        <f>IF($S166="","",$S166-MAX($S$5:$S166))</f>
        <v/>
      </c>
    </row>
    <row r="167">
      <c r="A167" s="14" t="n"/>
      <c r="B167" s="15" t="n"/>
      <c r="C167" s="15" t="n"/>
      <c r="D167" s="15" t="n"/>
      <c r="E167" s="16" t="n"/>
      <c r="F167" s="16" t="n"/>
      <c r="G167" s="16" t="n"/>
      <c r="H167" s="17" t="n"/>
      <c r="I167" s="18" t="n"/>
      <c r="J167" s="18" t="n"/>
      <c r="K167" s="19" t="n"/>
      <c r="L167" s="20">
        <f>IF($B167="","",IFERROR(VLOOKUP($B167,'تنظیمات'!$A$4:$C$43,2,FALSE),1))</f>
        <v/>
      </c>
      <c r="M167" s="21">
        <f>IF($B167="","",IFERROR(VLOOKUP($B167,'تنظیمات'!$A$4:$C$43,3,FALSE),"USD"))</f>
        <v/>
      </c>
      <c r="N167" s="22">
        <f>IF(OR($E167="",$F167="",$H167="",$L167=""),"",ABS($E167-$F167)*$H167*IF($M167="BASE",$L167/$E167,$L167))</f>
        <v/>
      </c>
      <c r="O167" s="22">
        <f>IF($J167&lt;&gt;"",$J167,IF(OR($E167="",$G167="",$H167="",$L167=""),"",($G167-$E167)*IF($C167="فروش",-1,1)*$H167*IF($M167="BASE",$L167/$G167,$L167)))</f>
        <v/>
      </c>
      <c r="P167" s="22">
        <f>IF($O167="","",$O167-N($I167))</f>
        <v/>
      </c>
      <c r="Q167" s="23">
        <f>IF(OR($P167="",$N167="",$N167=0),"",$P167/$N167)</f>
        <v/>
      </c>
      <c r="R167" s="21">
        <f>IF($P167="","",IF($P167&gt;0,"برد",IF($P167&lt;0,"باخت","سر به سر")))</f>
        <v/>
      </c>
      <c r="S167" s="22">
        <f>IF($P167="","",SUM($P$5:$P167))</f>
        <v/>
      </c>
      <c r="T167" s="24">
        <f>IF($R167="باخت",N($T166)+1,0)</f>
        <v/>
      </c>
      <c r="U167" s="22">
        <f>IF($S167="","",$S167-MAX($S$5:$S167))</f>
        <v/>
      </c>
    </row>
    <row r="168">
      <c r="A168" s="14" t="n"/>
      <c r="B168" s="15" t="n"/>
      <c r="C168" s="15" t="n"/>
      <c r="D168" s="15" t="n"/>
      <c r="E168" s="16" t="n"/>
      <c r="F168" s="16" t="n"/>
      <c r="G168" s="16" t="n"/>
      <c r="H168" s="17" t="n"/>
      <c r="I168" s="18" t="n"/>
      <c r="J168" s="18" t="n"/>
      <c r="K168" s="19" t="n"/>
      <c r="L168" s="20">
        <f>IF($B168="","",IFERROR(VLOOKUP($B168,'تنظیمات'!$A$4:$C$43,2,FALSE),1))</f>
        <v/>
      </c>
      <c r="M168" s="21">
        <f>IF($B168="","",IFERROR(VLOOKUP($B168,'تنظیمات'!$A$4:$C$43,3,FALSE),"USD"))</f>
        <v/>
      </c>
      <c r="N168" s="22">
        <f>IF(OR($E168="",$F168="",$H168="",$L168=""),"",ABS($E168-$F168)*$H168*IF($M168="BASE",$L168/$E168,$L168))</f>
        <v/>
      </c>
      <c r="O168" s="22">
        <f>IF($J168&lt;&gt;"",$J168,IF(OR($E168="",$G168="",$H168="",$L168=""),"",($G168-$E168)*IF($C168="فروش",-1,1)*$H168*IF($M168="BASE",$L168/$G168,$L168)))</f>
        <v/>
      </c>
      <c r="P168" s="22">
        <f>IF($O168="","",$O168-N($I168))</f>
        <v/>
      </c>
      <c r="Q168" s="23">
        <f>IF(OR($P168="",$N168="",$N168=0),"",$P168/$N168)</f>
        <v/>
      </c>
      <c r="R168" s="21">
        <f>IF($P168="","",IF($P168&gt;0,"برد",IF($P168&lt;0,"باخت","سر به سر")))</f>
        <v/>
      </c>
      <c r="S168" s="22">
        <f>IF($P168="","",SUM($P$5:$P168))</f>
        <v/>
      </c>
      <c r="T168" s="24">
        <f>IF($R168="باخت",N($T167)+1,0)</f>
        <v/>
      </c>
      <c r="U168" s="22">
        <f>IF($S168="","",$S168-MAX($S$5:$S168))</f>
        <v/>
      </c>
    </row>
    <row r="169">
      <c r="A169" s="14" t="n"/>
      <c r="B169" s="15" t="n"/>
      <c r="C169" s="15" t="n"/>
      <c r="D169" s="15" t="n"/>
      <c r="E169" s="16" t="n"/>
      <c r="F169" s="16" t="n"/>
      <c r="G169" s="16" t="n"/>
      <c r="H169" s="17" t="n"/>
      <c r="I169" s="18" t="n"/>
      <c r="J169" s="18" t="n"/>
      <c r="K169" s="19" t="n"/>
      <c r="L169" s="20">
        <f>IF($B169="","",IFERROR(VLOOKUP($B169,'تنظیمات'!$A$4:$C$43,2,FALSE),1))</f>
        <v/>
      </c>
      <c r="M169" s="21">
        <f>IF($B169="","",IFERROR(VLOOKUP($B169,'تنظیمات'!$A$4:$C$43,3,FALSE),"USD"))</f>
        <v/>
      </c>
      <c r="N169" s="22">
        <f>IF(OR($E169="",$F169="",$H169="",$L169=""),"",ABS($E169-$F169)*$H169*IF($M169="BASE",$L169/$E169,$L169))</f>
        <v/>
      </c>
      <c r="O169" s="22">
        <f>IF($J169&lt;&gt;"",$J169,IF(OR($E169="",$G169="",$H169="",$L169=""),"",($G169-$E169)*IF($C169="فروش",-1,1)*$H169*IF($M169="BASE",$L169/$G169,$L169)))</f>
        <v/>
      </c>
      <c r="P169" s="22">
        <f>IF($O169="","",$O169-N($I169))</f>
        <v/>
      </c>
      <c r="Q169" s="23">
        <f>IF(OR($P169="",$N169="",$N169=0),"",$P169/$N169)</f>
        <v/>
      </c>
      <c r="R169" s="21">
        <f>IF($P169="","",IF($P169&gt;0,"برد",IF($P169&lt;0,"باخت","سر به سر")))</f>
        <v/>
      </c>
      <c r="S169" s="22">
        <f>IF($P169="","",SUM($P$5:$P169))</f>
        <v/>
      </c>
      <c r="T169" s="24">
        <f>IF($R169="باخت",N($T168)+1,0)</f>
        <v/>
      </c>
      <c r="U169" s="22">
        <f>IF($S169="","",$S169-MAX($S$5:$S169))</f>
        <v/>
      </c>
    </row>
    <row r="170">
      <c r="A170" s="14" t="n"/>
      <c r="B170" s="15" t="n"/>
      <c r="C170" s="15" t="n"/>
      <c r="D170" s="15" t="n"/>
      <c r="E170" s="16" t="n"/>
      <c r="F170" s="16" t="n"/>
      <c r="G170" s="16" t="n"/>
      <c r="H170" s="17" t="n"/>
      <c r="I170" s="18" t="n"/>
      <c r="J170" s="18" t="n"/>
      <c r="K170" s="19" t="n"/>
      <c r="L170" s="20">
        <f>IF($B170="","",IFERROR(VLOOKUP($B170,'تنظیمات'!$A$4:$C$43,2,FALSE),1))</f>
        <v/>
      </c>
      <c r="M170" s="21">
        <f>IF($B170="","",IFERROR(VLOOKUP($B170,'تنظیمات'!$A$4:$C$43,3,FALSE),"USD"))</f>
        <v/>
      </c>
      <c r="N170" s="22">
        <f>IF(OR($E170="",$F170="",$H170="",$L170=""),"",ABS($E170-$F170)*$H170*IF($M170="BASE",$L170/$E170,$L170))</f>
        <v/>
      </c>
      <c r="O170" s="22">
        <f>IF($J170&lt;&gt;"",$J170,IF(OR($E170="",$G170="",$H170="",$L170=""),"",($G170-$E170)*IF($C170="فروش",-1,1)*$H170*IF($M170="BASE",$L170/$G170,$L170)))</f>
        <v/>
      </c>
      <c r="P170" s="22">
        <f>IF($O170="","",$O170-N($I170))</f>
        <v/>
      </c>
      <c r="Q170" s="23">
        <f>IF(OR($P170="",$N170="",$N170=0),"",$P170/$N170)</f>
        <v/>
      </c>
      <c r="R170" s="21">
        <f>IF($P170="","",IF($P170&gt;0,"برد",IF($P170&lt;0,"باخت","سر به سر")))</f>
        <v/>
      </c>
      <c r="S170" s="22">
        <f>IF($P170="","",SUM($P$5:$P170))</f>
        <v/>
      </c>
      <c r="T170" s="24">
        <f>IF($R170="باخت",N($T169)+1,0)</f>
        <v/>
      </c>
      <c r="U170" s="22">
        <f>IF($S170="","",$S170-MAX($S$5:$S170))</f>
        <v/>
      </c>
    </row>
    <row r="171">
      <c r="A171" s="14" t="n"/>
      <c r="B171" s="15" t="n"/>
      <c r="C171" s="15" t="n"/>
      <c r="D171" s="15" t="n"/>
      <c r="E171" s="16" t="n"/>
      <c r="F171" s="16" t="n"/>
      <c r="G171" s="16" t="n"/>
      <c r="H171" s="17" t="n"/>
      <c r="I171" s="18" t="n"/>
      <c r="J171" s="18" t="n"/>
      <c r="K171" s="19" t="n"/>
      <c r="L171" s="20">
        <f>IF($B171="","",IFERROR(VLOOKUP($B171,'تنظیمات'!$A$4:$C$43,2,FALSE),1))</f>
        <v/>
      </c>
      <c r="M171" s="21">
        <f>IF($B171="","",IFERROR(VLOOKUP($B171,'تنظیمات'!$A$4:$C$43,3,FALSE),"USD"))</f>
        <v/>
      </c>
      <c r="N171" s="22">
        <f>IF(OR($E171="",$F171="",$H171="",$L171=""),"",ABS($E171-$F171)*$H171*IF($M171="BASE",$L171/$E171,$L171))</f>
        <v/>
      </c>
      <c r="O171" s="22">
        <f>IF($J171&lt;&gt;"",$J171,IF(OR($E171="",$G171="",$H171="",$L171=""),"",($G171-$E171)*IF($C171="فروش",-1,1)*$H171*IF($M171="BASE",$L171/$G171,$L171)))</f>
        <v/>
      </c>
      <c r="P171" s="22">
        <f>IF($O171="","",$O171-N($I171))</f>
        <v/>
      </c>
      <c r="Q171" s="23">
        <f>IF(OR($P171="",$N171="",$N171=0),"",$P171/$N171)</f>
        <v/>
      </c>
      <c r="R171" s="21">
        <f>IF($P171="","",IF($P171&gt;0,"برد",IF($P171&lt;0,"باخت","سر به سر")))</f>
        <v/>
      </c>
      <c r="S171" s="22">
        <f>IF($P171="","",SUM($P$5:$P171))</f>
        <v/>
      </c>
      <c r="T171" s="24">
        <f>IF($R171="باخت",N($T170)+1,0)</f>
        <v/>
      </c>
      <c r="U171" s="22">
        <f>IF($S171="","",$S171-MAX($S$5:$S171))</f>
        <v/>
      </c>
    </row>
    <row r="172">
      <c r="A172" s="14" t="n"/>
      <c r="B172" s="15" t="n"/>
      <c r="C172" s="15" t="n"/>
      <c r="D172" s="15" t="n"/>
      <c r="E172" s="16" t="n"/>
      <c r="F172" s="16" t="n"/>
      <c r="G172" s="16" t="n"/>
      <c r="H172" s="17" t="n"/>
      <c r="I172" s="18" t="n"/>
      <c r="J172" s="18" t="n"/>
      <c r="K172" s="19" t="n"/>
      <c r="L172" s="20">
        <f>IF($B172="","",IFERROR(VLOOKUP($B172,'تنظیمات'!$A$4:$C$43,2,FALSE),1))</f>
        <v/>
      </c>
      <c r="M172" s="21">
        <f>IF($B172="","",IFERROR(VLOOKUP($B172,'تنظیمات'!$A$4:$C$43,3,FALSE),"USD"))</f>
        <v/>
      </c>
      <c r="N172" s="22">
        <f>IF(OR($E172="",$F172="",$H172="",$L172=""),"",ABS($E172-$F172)*$H172*IF($M172="BASE",$L172/$E172,$L172))</f>
        <v/>
      </c>
      <c r="O172" s="22">
        <f>IF($J172&lt;&gt;"",$J172,IF(OR($E172="",$G172="",$H172="",$L172=""),"",($G172-$E172)*IF($C172="فروش",-1,1)*$H172*IF($M172="BASE",$L172/$G172,$L172)))</f>
        <v/>
      </c>
      <c r="P172" s="22">
        <f>IF($O172="","",$O172-N($I172))</f>
        <v/>
      </c>
      <c r="Q172" s="23">
        <f>IF(OR($P172="",$N172="",$N172=0),"",$P172/$N172)</f>
        <v/>
      </c>
      <c r="R172" s="21">
        <f>IF($P172="","",IF($P172&gt;0,"برد",IF($P172&lt;0,"باخت","سر به سر")))</f>
        <v/>
      </c>
      <c r="S172" s="22">
        <f>IF($P172="","",SUM($P$5:$P172))</f>
        <v/>
      </c>
      <c r="T172" s="24">
        <f>IF($R172="باخت",N($T171)+1,0)</f>
        <v/>
      </c>
      <c r="U172" s="22">
        <f>IF($S172="","",$S172-MAX($S$5:$S172))</f>
        <v/>
      </c>
    </row>
    <row r="173">
      <c r="A173" s="14" t="n"/>
      <c r="B173" s="15" t="n"/>
      <c r="C173" s="15" t="n"/>
      <c r="D173" s="15" t="n"/>
      <c r="E173" s="16" t="n"/>
      <c r="F173" s="16" t="n"/>
      <c r="G173" s="16" t="n"/>
      <c r="H173" s="17" t="n"/>
      <c r="I173" s="18" t="n"/>
      <c r="J173" s="18" t="n"/>
      <c r="K173" s="19" t="n"/>
      <c r="L173" s="20">
        <f>IF($B173="","",IFERROR(VLOOKUP($B173,'تنظیمات'!$A$4:$C$43,2,FALSE),1))</f>
        <v/>
      </c>
      <c r="M173" s="21">
        <f>IF($B173="","",IFERROR(VLOOKUP($B173,'تنظیمات'!$A$4:$C$43,3,FALSE),"USD"))</f>
        <v/>
      </c>
      <c r="N173" s="22">
        <f>IF(OR($E173="",$F173="",$H173="",$L173=""),"",ABS($E173-$F173)*$H173*IF($M173="BASE",$L173/$E173,$L173))</f>
        <v/>
      </c>
      <c r="O173" s="22">
        <f>IF($J173&lt;&gt;"",$J173,IF(OR($E173="",$G173="",$H173="",$L173=""),"",($G173-$E173)*IF($C173="فروش",-1,1)*$H173*IF($M173="BASE",$L173/$G173,$L173)))</f>
        <v/>
      </c>
      <c r="P173" s="22">
        <f>IF($O173="","",$O173-N($I173))</f>
        <v/>
      </c>
      <c r="Q173" s="23">
        <f>IF(OR($P173="",$N173="",$N173=0),"",$P173/$N173)</f>
        <v/>
      </c>
      <c r="R173" s="21">
        <f>IF($P173="","",IF($P173&gt;0,"برد",IF($P173&lt;0,"باخت","سر به سر")))</f>
        <v/>
      </c>
      <c r="S173" s="22">
        <f>IF($P173="","",SUM($P$5:$P173))</f>
        <v/>
      </c>
      <c r="T173" s="24">
        <f>IF($R173="باخت",N($T172)+1,0)</f>
        <v/>
      </c>
      <c r="U173" s="22">
        <f>IF($S173="","",$S173-MAX($S$5:$S173))</f>
        <v/>
      </c>
    </row>
    <row r="174">
      <c r="A174" s="14" t="n"/>
      <c r="B174" s="15" t="n"/>
      <c r="C174" s="15" t="n"/>
      <c r="D174" s="15" t="n"/>
      <c r="E174" s="16" t="n"/>
      <c r="F174" s="16" t="n"/>
      <c r="G174" s="16" t="n"/>
      <c r="H174" s="17" t="n"/>
      <c r="I174" s="18" t="n"/>
      <c r="J174" s="18" t="n"/>
      <c r="K174" s="19" t="n"/>
      <c r="L174" s="20">
        <f>IF($B174="","",IFERROR(VLOOKUP($B174,'تنظیمات'!$A$4:$C$43,2,FALSE),1))</f>
        <v/>
      </c>
      <c r="M174" s="21">
        <f>IF($B174="","",IFERROR(VLOOKUP($B174,'تنظیمات'!$A$4:$C$43,3,FALSE),"USD"))</f>
        <v/>
      </c>
      <c r="N174" s="22">
        <f>IF(OR($E174="",$F174="",$H174="",$L174=""),"",ABS($E174-$F174)*$H174*IF($M174="BASE",$L174/$E174,$L174))</f>
        <v/>
      </c>
      <c r="O174" s="22">
        <f>IF($J174&lt;&gt;"",$J174,IF(OR($E174="",$G174="",$H174="",$L174=""),"",($G174-$E174)*IF($C174="فروش",-1,1)*$H174*IF($M174="BASE",$L174/$G174,$L174)))</f>
        <v/>
      </c>
      <c r="P174" s="22">
        <f>IF($O174="","",$O174-N($I174))</f>
        <v/>
      </c>
      <c r="Q174" s="23">
        <f>IF(OR($P174="",$N174="",$N174=0),"",$P174/$N174)</f>
        <v/>
      </c>
      <c r="R174" s="21">
        <f>IF($P174="","",IF($P174&gt;0,"برد",IF($P174&lt;0,"باخت","سر به سر")))</f>
        <v/>
      </c>
      <c r="S174" s="22">
        <f>IF($P174="","",SUM($P$5:$P174))</f>
        <v/>
      </c>
      <c r="T174" s="24">
        <f>IF($R174="باخت",N($T173)+1,0)</f>
        <v/>
      </c>
      <c r="U174" s="22">
        <f>IF($S174="","",$S174-MAX($S$5:$S174))</f>
        <v/>
      </c>
    </row>
    <row r="175">
      <c r="A175" s="14" t="n"/>
      <c r="B175" s="15" t="n"/>
      <c r="C175" s="15" t="n"/>
      <c r="D175" s="15" t="n"/>
      <c r="E175" s="16" t="n"/>
      <c r="F175" s="16" t="n"/>
      <c r="G175" s="16" t="n"/>
      <c r="H175" s="17" t="n"/>
      <c r="I175" s="18" t="n"/>
      <c r="J175" s="18" t="n"/>
      <c r="K175" s="19" t="n"/>
      <c r="L175" s="20">
        <f>IF($B175="","",IFERROR(VLOOKUP($B175,'تنظیمات'!$A$4:$C$43,2,FALSE),1))</f>
        <v/>
      </c>
      <c r="M175" s="21">
        <f>IF($B175="","",IFERROR(VLOOKUP($B175,'تنظیمات'!$A$4:$C$43,3,FALSE),"USD"))</f>
        <v/>
      </c>
      <c r="N175" s="22">
        <f>IF(OR($E175="",$F175="",$H175="",$L175=""),"",ABS($E175-$F175)*$H175*IF($M175="BASE",$L175/$E175,$L175))</f>
        <v/>
      </c>
      <c r="O175" s="22">
        <f>IF($J175&lt;&gt;"",$J175,IF(OR($E175="",$G175="",$H175="",$L175=""),"",($G175-$E175)*IF($C175="فروش",-1,1)*$H175*IF($M175="BASE",$L175/$G175,$L175)))</f>
        <v/>
      </c>
      <c r="P175" s="22">
        <f>IF($O175="","",$O175-N($I175))</f>
        <v/>
      </c>
      <c r="Q175" s="23">
        <f>IF(OR($P175="",$N175="",$N175=0),"",$P175/$N175)</f>
        <v/>
      </c>
      <c r="R175" s="21">
        <f>IF($P175="","",IF($P175&gt;0,"برد",IF($P175&lt;0,"باخت","سر به سر")))</f>
        <v/>
      </c>
      <c r="S175" s="22">
        <f>IF($P175="","",SUM($P$5:$P175))</f>
        <v/>
      </c>
      <c r="T175" s="24">
        <f>IF($R175="باخت",N($T174)+1,0)</f>
        <v/>
      </c>
      <c r="U175" s="22">
        <f>IF($S175="","",$S175-MAX($S$5:$S175))</f>
        <v/>
      </c>
    </row>
    <row r="176">
      <c r="A176" s="14" t="n"/>
      <c r="B176" s="15" t="n"/>
      <c r="C176" s="15" t="n"/>
      <c r="D176" s="15" t="n"/>
      <c r="E176" s="16" t="n"/>
      <c r="F176" s="16" t="n"/>
      <c r="G176" s="16" t="n"/>
      <c r="H176" s="17" t="n"/>
      <c r="I176" s="18" t="n"/>
      <c r="J176" s="18" t="n"/>
      <c r="K176" s="19" t="n"/>
      <c r="L176" s="20">
        <f>IF($B176="","",IFERROR(VLOOKUP($B176,'تنظیمات'!$A$4:$C$43,2,FALSE),1))</f>
        <v/>
      </c>
      <c r="M176" s="21">
        <f>IF($B176="","",IFERROR(VLOOKUP($B176,'تنظیمات'!$A$4:$C$43,3,FALSE),"USD"))</f>
        <v/>
      </c>
      <c r="N176" s="22">
        <f>IF(OR($E176="",$F176="",$H176="",$L176=""),"",ABS($E176-$F176)*$H176*IF($M176="BASE",$L176/$E176,$L176))</f>
        <v/>
      </c>
      <c r="O176" s="22">
        <f>IF($J176&lt;&gt;"",$J176,IF(OR($E176="",$G176="",$H176="",$L176=""),"",($G176-$E176)*IF($C176="فروش",-1,1)*$H176*IF($M176="BASE",$L176/$G176,$L176)))</f>
        <v/>
      </c>
      <c r="P176" s="22">
        <f>IF($O176="","",$O176-N($I176))</f>
        <v/>
      </c>
      <c r="Q176" s="23">
        <f>IF(OR($P176="",$N176="",$N176=0),"",$P176/$N176)</f>
        <v/>
      </c>
      <c r="R176" s="21">
        <f>IF($P176="","",IF($P176&gt;0,"برد",IF($P176&lt;0,"باخت","سر به سر")))</f>
        <v/>
      </c>
      <c r="S176" s="22">
        <f>IF($P176="","",SUM($P$5:$P176))</f>
        <v/>
      </c>
      <c r="T176" s="24">
        <f>IF($R176="باخت",N($T175)+1,0)</f>
        <v/>
      </c>
      <c r="U176" s="22">
        <f>IF($S176="","",$S176-MAX($S$5:$S176))</f>
        <v/>
      </c>
    </row>
    <row r="177">
      <c r="A177" s="14" t="n"/>
      <c r="B177" s="15" t="n"/>
      <c r="C177" s="15" t="n"/>
      <c r="D177" s="15" t="n"/>
      <c r="E177" s="16" t="n"/>
      <c r="F177" s="16" t="n"/>
      <c r="G177" s="16" t="n"/>
      <c r="H177" s="17" t="n"/>
      <c r="I177" s="18" t="n"/>
      <c r="J177" s="18" t="n"/>
      <c r="K177" s="19" t="n"/>
      <c r="L177" s="20">
        <f>IF($B177="","",IFERROR(VLOOKUP($B177,'تنظیمات'!$A$4:$C$43,2,FALSE),1))</f>
        <v/>
      </c>
      <c r="M177" s="21">
        <f>IF($B177="","",IFERROR(VLOOKUP($B177,'تنظیمات'!$A$4:$C$43,3,FALSE),"USD"))</f>
        <v/>
      </c>
      <c r="N177" s="22">
        <f>IF(OR($E177="",$F177="",$H177="",$L177=""),"",ABS($E177-$F177)*$H177*IF($M177="BASE",$L177/$E177,$L177))</f>
        <v/>
      </c>
      <c r="O177" s="22">
        <f>IF($J177&lt;&gt;"",$J177,IF(OR($E177="",$G177="",$H177="",$L177=""),"",($G177-$E177)*IF($C177="فروش",-1,1)*$H177*IF($M177="BASE",$L177/$G177,$L177)))</f>
        <v/>
      </c>
      <c r="P177" s="22">
        <f>IF($O177="","",$O177-N($I177))</f>
        <v/>
      </c>
      <c r="Q177" s="23">
        <f>IF(OR($P177="",$N177="",$N177=0),"",$P177/$N177)</f>
        <v/>
      </c>
      <c r="R177" s="21">
        <f>IF($P177="","",IF($P177&gt;0,"برد",IF($P177&lt;0,"باخت","سر به سر")))</f>
        <v/>
      </c>
      <c r="S177" s="22">
        <f>IF($P177="","",SUM($P$5:$P177))</f>
        <v/>
      </c>
      <c r="T177" s="24">
        <f>IF($R177="باخت",N($T176)+1,0)</f>
        <v/>
      </c>
      <c r="U177" s="22">
        <f>IF($S177="","",$S177-MAX($S$5:$S177))</f>
        <v/>
      </c>
    </row>
    <row r="178">
      <c r="A178" s="14" t="n"/>
      <c r="B178" s="15" t="n"/>
      <c r="C178" s="15" t="n"/>
      <c r="D178" s="15" t="n"/>
      <c r="E178" s="16" t="n"/>
      <c r="F178" s="16" t="n"/>
      <c r="G178" s="16" t="n"/>
      <c r="H178" s="17" t="n"/>
      <c r="I178" s="18" t="n"/>
      <c r="J178" s="18" t="n"/>
      <c r="K178" s="19" t="n"/>
      <c r="L178" s="20">
        <f>IF($B178="","",IFERROR(VLOOKUP($B178,'تنظیمات'!$A$4:$C$43,2,FALSE),1))</f>
        <v/>
      </c>
      <c r="M178" s="21">
        <f>IF($B178="","",IFERROR(VLOOKUP($B178,'تنظیمات'!$A$4:$C$43,3,FALSE),"USD"))</f>
        <v/>
      </c>
      <c r="N178" s="22">
        <f>IF(OR($E178="",$F178="",$H178="",$L178=""),"",ABS($E178-$F178)*$H178*IF($M178="BASE",$L178/$E178,$L178))</f>
        <v/>
      </c>
      <c r="O178" s="22">
        <f>IF($J178&lt;&gt;"",$J178,IF(OR($E178="",$G178="",$H178="",$L178=""),"",($G178-$E178)*IF($C178="فروش",-1,1)*$H178*IF($M178="BASE",$L178/$G178,$L178)))</f>
        <v/>
      </c>
      <c r="P178" s="22">
        <f>IF($O178="","",$O178-N($I178))</f>
        <v/>
      </c>
      <c r="Q178" s="23">
        <f>IF(OR($P178="",$N178="",$N178=0),"",$P178/$N178)</f>
        <v/>
      </c>
      <c r="R178" s="21">
        <f>IF($P178="","",IF($P178&gt;0,"برد",IF($P178&lt;0,"باخت","سر به سر")))</f>
        <v/>
      </c>
      <c r="S178" s="22">
        <f>IF($P178="","",SUM($P$5:$P178))</f>
        <v/>
      </c>
      <c r="T178" s="24">
        <f>IF($R178="باخت",N($T177)+1,0)</f>
        <v/>
      </c>
      <c r="U178" s="22">
        <f>IF($S178="","",$S178-MAX($S$5:$S178))</f>
        <v/>
      </c>
    </row>
    <row r="179">
      <c r="A179" s="14" t="n"/>
      <c r="B179" s="15" t="n"/>
      <c r="C179" s="15" t="n"/>
      <c r="D179" s="15" t="n"/>
      <c r="E179" s="16" t="n"/>
      <c r="F179" s="16" t="n"/>
      <c r="G179" s="16" t="n"/>
      <c r="H179" s="17" t="n"/>
      <c r="I179" s="18" t="n"/>
      <c r="J179" s="18" t="n"/>
      <c r="K179" s="19" t="n"/>
      <c r="L179" s="20">
        <f>IF($B179="","",IFERROR(VLOOKUP($B179,'تنظیمات'!$A$4:$C$43,2,FALSE),1))</f>
        <v/>
      </c>
      <c r="M179" s="21">
        <f>IF($B179="","",IFERROR(VLOOKUP($B179,'تنظیمات'!$A$4:$C$43,3,FALSE),"USD"))</f>
        <v/>
      </c>
      <c r="N179" s="22">
        <f>IF(OR($E179="",$F179="",$H179="",$L179=""),"",ABS($E179-$F179)*$H179*IF($M179="BASE",$L179/$E179,$L179))</f>
        <v/>
      </c>
      <c r="O179" s="22">
        <f>IF($J179&lt;&gt;"",$J179,IF(OR($E179="",$G179="",$H179="",$L179=""),"",($G179-$E179)*IF($C179="فروش",-1,1)*$H179*IF($M179="BASE",$L179/$G179,$L179)))</f>
        <v/>
      </c>
      <c r="P179" s="22">
        <f>IF($O179="","",$O179-N($I179))</f>
        <v/>
      </c>
      <c r="Q179" s="23">
        <f>IF(OR($P179="",$N179="",$N179=0),"",$P179/$N179)</f>
        <v/>
      </c>
      <c r="R179" s="21">
        <f>IF($P179="","",IF($P179&gt;0,"برد",IF($P179&lt;0,"باخت","سر به سر")))</f>
        <v/>
      </c>
      <c r="S179" s="22">
        <f>IF($P179="","",SUM($P$5:$P179))</f>
        <v/>
      </c>
      <c r="T179" s="24">
        <f>IF($R179="باخت",N($T178)+1,0)</f>
        <v/>
      </c>
      <c r="U179" s="22">
        <f>IF($S179="","",$S179-MAX($S$5:$S179))</f>
        <v/>
      </c>
    </row>
    <row r="180">
      <c r="A180" s="14" t="n"/>
      <c r="B180" s="15" t="n"/>
      <c r="C180" s="15" t="n"/>
      <c r="D180" s="15" t="n"/>
      <c r="E180" s="16" t="n"/>
      <c r="F180" s="16" t="n"/>
      <c r="G180" s="16" t="n"/>
      <c r="H180" s="17" t="n"/>
      <c r="I180" s="18" t="n"/>
      <c r="J180" s="18" t="n"/>
      <c r="K180" s="19" t="n"/>
      <c r="L180" s="20">
        <f>IF($B180="","",IFERROR(VLOOKUP($B180,'تنظیمات'!$A$4:$C$43,2,FALSE),1))</f>
        <v/>
      </c>
      <c r="M180" s="21">
        <f>IF($B180="","",IFERROR(VLOOKUP($B180,'تنظیمات'!$A$4:$C$43,3,FALSE),"USD"))</f>
        <v/>
      </c>
      <c r="N180" s="22">
        <f>IF(OR($E180="",$F180="",$H180="",$L180=""),"",ABS($E180-$F180)*$H180*IF($M180="BASE",$L180/$E180,$L180))</f>
        <v/>
      </c>
      <c r="O180" s="22">
        <f>IF($J180&lt;&gt;"",$J180,IF(OR($E180="",$G180="",$H180="",$L180=""),"",($G180-$E180)*IF($C180="فروش",-1,1)*$H180*IF($M180="BASE",$L180/$G180,$L180)))</f>
        <v/>
      </c>
      <c r="P180" s="22">
        <f>IF($O180="","",$O180-N($I180))</f>
        <v/>
      </c>
      <c r="Q180" s="23">
        <f>IF(OR($P180="",$N180="",$N180=0),"",$P180/$N180)</f>
        <v/>
      </c>
      <c r="R180" s="21">
        <f>IF($P180="","",IF($P180&gt;0,"برد",IF($P180&lt;0,"باخت","سر به سر")))</f>
        <v/>
      </c>
      <c r="S180" s="22">
        <f>IF($P180="","",SUM($P$5:$P180))</f>
        <v/>
      </c>
      <c r="T180" s="24">
        <f>IF($R180="باخت",N($T179)+1,0)</f>
        <v/>
      </c>
      <c r="U180" s="22">
        <f>IF($S180="","",$S180-MAX($S$5:$S180))</f>
        <v/>
      </c>
    </row>
    <row r="181">
      <c r="A181" s="14" t="n"/>
      <c r="B181" s="15" t="n"/>
      <c r="C181" s="15" t="n"/>
      <c r="D181" s="15" t="n"/>
      <c r="E181" s="16" t="n"/>
      <c r="F181" s="16" t="n"/>
      <c r="G181" s="16" t="n"/>
      <c r="H181" s="17" t="n"/>
      <c r="I181" s="18" t="n"/>
      <c r="J181" s="18" t="n"/>
      <c r="K181" s="19" t="n"/>
      <c r="L181" s="20">
        <f>IF($B181="","",IFERROR(VLOOKUP($B181,'تنظیمات'!$A$4:$C$43,2,FALSE),1))</f>
        <v/>
      </c>
      <c r="M181" s="21">
        <f>IF($B181="","",IFERROR(VLOOKUP($B181,'تنظیمات'!$A$4:$C$43,3,FALSE),"USD"))</f>
        <v/>
      </c>
      <c r="N181" s="22">
        <f>IF(OR($E181="",$F181="",$H181="",$L181=""),"",ABS($E181-$F181)*$H181*IF($M181="BASE",$L181/$E181,$L181))</f>
        <v/>
      </c>
      <c r="O181" s="22">
        <f>IF($J181&lt;&gt;"",$J181,IF(OR($E181="",$G181="",$H181="",$L181=""),"",($G181-$E181)*IF($C181="فروش",-1,1)*$H181*IF($M181="BASE",$L181/$G181,$L181)))</f>
        <v/>
      </c>
      <c r="P181" s="22">
        <f>IF($O181="","",$O181-N($I181))</f>
        <v/>
      </c>
      <c r="Q181" s="23">
        <f>IF(OR($P181="",$N181="",$N181=0),"",$P181/$N181)</f>
        <v/>
      </c>
      <c r="R181" s="21">
        <f>IF($P181="","",IF($P181&gt;0,"برد",IF($P181&lt;0,"باخت","سر به سر")))</f>
        <v/>
      </c>
      <c r="S181" s="22">
        <f>IF($P181="","",SUM($P$5:$P181))</f>
        <v/>
      </c>
      <c r="T181" s="24">
        <f>IF($R181="باخت",N($T180)+1,0)</f>
        <v/>
      </c>
      <c r="U181" s="22">
        <f>IF($S181="","",$S181-MAX($S$5:$S181))</f>
        <v/>
      </c>
    </row>
    <row r="182">
      <c r="A182" s="14" t="n"/>
      <c r="B182" s="15" t="n"/>
      <c r="C182" s="15" t="n"/>
      <c r="D182" s="15" t="n"/>
      <c r="E182" s="16" t="n"/>
      <c r="F182" s="16" t="n"/>
      <c r="G182" s="16" t="n"/>
      <c r="H182" s="17" t="n"/>
      <c r="I182" s="18" t="n"/>
      <c r="J182" s="18" t="n"/>
      <c r="K182" s="19" t="n"/>
      <c r="L182" s="20">
        <f>IF($B182="","",IFERROR(VLOOKUP($B182,'تنظیمات'!$A$4:$C$43,2,FALSE),1))</f>
        <v/>
      </c>
      <c r="M182" s="21">
        <f>IF($B182="","",IFERROR(VLOOKUP($B182,'تنظیمات'!$A$4:$C$43,3,FALSE),"USD"))</f>
        <v/>
      </c>
      <c r="N182" s="22">
        <f>IF(OR($E182="",$F182="",$H182="",$L182=""),"",ABS($E182-$F182)*$H182*IF($M182="BASE",$L182/$E182,$L182))</f>
        <v/>
      </c>
      <c r="O182" s="22">
        <f>IF($J182&lt;&gt;"",$J182,IF(OR($E182="",$G182="",$H182="",$L182=""),"",($G182-$E182)*IF($C182="فروش",-1,1)*$H182*IF($M182="BASE",$L182/$G182,$L182)))</f>
        <v/>
      </c>
      <c r="P182" s="22">
        <f>IF($O182="","",$O182-N($I182))</f>
        <v/>
      </c>
      <c r="Q182" s="23">
        <f>IF(OR($P182="",$N182="",$N182=0),"",$P182/$N182)</f>
        <v/>
      </c>
      <c r="R182" s="21">
        <f>IF($P182="","",IF($P182&gt;0,"برد",IF($P182&lt;0,"باخت","سر به سر")))</f>
        <v/>
      </c>
      <c r="S182" s="22">
        <f>IF($P182="","",SUM($P$5:$P182))</f>
        <v/>
      </c>
      <c r="T182" s="24">
        <f>IF($R182="باخت",N($T181)+1,0)</f>
        <v/>
      </c>
      <c r="U182" s="22">
        <f>IF($S182="","",$S182-MAX($S$5:$S182))</f>
        <v/>
      </c>
    </row>
    <row r="183">
      <c r="A183" s="14" t="n"/>
      <c r="B183" s="15" t="n"/>
      <c r="C183" s="15" t="n"/>
      <c r="D183" s="15" t="n"/>
      <c r="E183" s="16" t="n"/>
      <c r="F183" s="16" t="n"/>
      <c r="G183" s="16" t="n"/>
      <c r="H183" s="17" t="n"/>
      <c r="I183" s="18" t="n"/>
      <c r="J183" s="18" t="n"/>
      <c r="K183" s="19" t="n"/>
      <c r="L183" s="20">
        <f>IF($B183="","",IFERROR(VLOOKUP($B183,'تنظیمات'!$A$4:$C$43,2,FALSE),1))</f>
        <v/>
      </c>
      <c r="M183" s="21">
        <f>IF($B183="","",IFERROR(VLOOKUP($B183,'تنظیمات'!$A$4:$C$43,3,FALSE),"USD"))</f>
        <v/>
      </c>
      <c r="N183" s="22">
        <f>IF(OR($E183="",$F183="",$H183="",$L183=""),"",ABS($E183-$F183)*$H183*IF($M183="BASE",$L183/$E183,$L183))</f>
        <v/>
      </c>
      <c r="O183" s="22">
        <f>IF($J183&lt;&gt;"",$J183,IF(OR($E183="",$G183="",$H183="",$L183=""),"",($G183-$E183)*IF($C183="فروش",-1,1)*$H183*IF($M183="BASE",$L183/$G183,$L183)))</f>
        <v/>
      </c>
      <c r="P183" s="22">
        <f>IF($O183="","",$O183-N($I183))</f>
        <v/>
      </c>
      <c r="Q183" s="23">
        <f>IF(OR($P183="",$N183="",$N183=0),"",$P183/$N183)</f>
        <v/>
      </c>
      <c r="R183" s="21">
        <f>IF($P183="","",IF($P183&gt;0,"برد",IF($P183&lt;0,"باخت","سر به سر")))</f>
        <v/>
      </c>
      <c r="S183" s="22">
        <f>IF($P183="","",SUM($P$5:$P183))</f>
        <v/>
      </c>
      <c r="T183" s="24">
        <f>IF($R183="باخت",N($T182)+1,0)</f>
        <v/>
      </c>
      <c r="U183" s="22">
        <f>IF($S183="","",$S183-MAX($S$5:$S183))</f>
        <v/>
      </c>
    </row>
    <row r="184">
      <c r="A184" s="14" t="n"/>
      <c r="B184" s="15" t="n"/>
      <c r="C184" s="15" t="n"/>
      <c r="D184" s="15" t="n"/>
      <c r="E184" s="16" t="n"/>
      <c r="F184" s="16" t="n"/>
      <c r="G184" s="16" t="n"/>
      <c r="H184" s="17" t="n"/>
      <c r="I184" s="18" t="n"/>
      <c r="J184" s="18" t="n"/>
      <c r="K184" s="19" t="n"/>
      <c r="L184" s="20">
        <f>IF($B184="","",IFERROR(VLOOKUP($B184,'تنظیمات'!$A$4:$C$43,2,FALSE),1))</f>
        <v/>
      </c>
      <c r="M184" s="21">
        <f>IF($B184="","",IFERROR(VLOOKUP($B184,'تنظیمات'!$A$4:$C$43,3,FALSE),"USD"))</f>
        <v/>
      </c>
      <c r="N184" s="22">
        <f>IF(OR($E184="",$F184="",$H184="",$L184=""),"",ABS($E184-$F184)*$H184*IF($M184="BASE",$L184/$E184,$L184))</f>
        <v/>
      </c>
      <c r="O184" s="22">
        <f>IF($J184&lt;&gt;"",$J184,IF(OR($E184="",$G184="",$H184="",$L184=""),"",($G184-$E184)*IF($C184="فروش",-1,1)*$H184*IF($M184="BASE",$L184/$G184,$L184)))</f>
        <v/>
      </c>
      <c r="P184" s="22">
        <f>IF($O184="","",$O184-N($I184))</f>
        <v/>
      </c>
      <c r="Q184" s="23">
        <f>IF(OR($P184="",$N184="",$N184=0),"",$P184/$N184)</f>
        <v/>
      </c>
      <c r="R184" s="21">
        <f>IF($P184="","",IF($P184&gt;0,"برد",IF($P184&lt;0,"باخت","سر به سر")))</f>
        <v/>
      </c>
      <c r="S184" s="22">
        <f>IF($P184="","",SUM($P$5:$P184))</f>
        <v/>
      </c>
      <c r="T184" s="24">
        <f>IF($R184="باخت",N($T183)+1,0)</f>
        <v/>
      </c>
      <c r="U184" s="22">
        <f>IF($S184="","",$S184-MAX($S$5:$S184))</f>
        <v/>
      </c>
    </row>
    <row r="185">
      <c r="A185" s="14" t="n"/>
      <c r="B185" s="15" t="n"/>
      <c r="C185" s="15" t="n"/>
      <c r="D185" s="15" t="n"/>
      <c r="E185" s="16" t="n"/>
      <c r="F185" s="16" t="n"/>
      <c r="G185" s="16" t="n"/>
      <c r="H185" s="17" t="n"/>
      <c r="I185" s="18" t="n"/>
      <c r="J185" s="18" t="n"/>
      <c r="K185" s="19" t="n"/>
      <c r="L185" s="20">
        <f>IF($B185="","",IFERROR(VLOOKUP($B185,'تنظیمات'!$A$4:$C$43,2,FALSE),1))</f>
        <v/>
      </c>
      <c r="M185" s="21">
        <f>IF($B185="","",IFERROR(VLOOKUP($B185,'تنظیمات'!$A$4:$C$43,3,FALSE),"USD"))</f>
        <v/>
      </c>
      <c r="N185" s="22">
        <f>IF(OR($E185="",$F185="",$H185="",$L185=""),"",ABS($E185-$F185)*$H185*IF($M185="BASE",$L185/$E185,$L185))</f>
        <v/>
      </c>
      <c r="O185" s="22">
        <f>IF($J185&lt;&gt;"",$J185,IF(OR($E185="",$G185="",$H185="",$L185=""),"",($G185-$E185)*IF($C185="فروش",-1,1)*$H185*IF($M185="BASE",$L185/$G185,$L185)))</f>
        <v/>
      </c>
      <c r="P185" s="22">
        <f>IF($O185="","",$O185-N($I185))</f>
        <v/>
      </c>
      <c r="Q185" s="23">
        <f>IF(OR($P185="",$N185="",$N185=0),"",$P185/$N185)</f>
        <v/>
      </c>
      <c r="R185" s="21">
        <f>IF($P185="","",IF($P185&gt;0,"برد",IF($P185&lt;0,"باخت","سر به سر")))</f>
        <v/>
      </c>
      <c r="S185" s="22">
        <f>IF($P185="","",SUM($P$5:$P185))</f>
        <v/>
      </c>
      <c r="T185" s="24">
        <f>IF($R185="باخت",N($T184)+1,0)</f>
        <v/>
      </c>
      <c r="U185" s="22">
        <f>IF($S185="","",$S185-MAX($S$5:$S185))</f>
        <v/>
      </c>
    </row>
    <row r="186">
      <c r="A186" s="14" t="n"/>
      <c r="B186" s="15" t="n"/>
      <c r="C186" s="15" t="n"/>
      <c r="D186" s="15" t="n"/>
      <c r="E186" s="16" t="n"/>
      <c r="F186" s="16" t="n"/>
      <c r="G186" s="16" t="n"/>
      <c r="H186" s="17" t="n"/>
      <c r="I186" s="18" t="n"/>
      <c r="J186" s="18" t="n"/>
      <c r="K186" s="19" t="n"/>
      <c r="L186" s="20">
        <f>IF($B186="","",IFERROR(VLOOKUP($B186,'تنظیمات'!$A$4:$C$43,2,FALSE),1))</f>
        <v/>
      </c>
      <c r="M186" s="21">
        <f>IF($B186="","",IFERROR(VLOOKUP($B186,'تنظیمات'!$A$4:$C$43,3,FALSE),"USD"))</f>
        <v/>
      </c>
      <c r="N186" s="22">
        <f>IF(OR($E186="",$F186="",$H186="",$L186=""),"",ABS($E186-$F186)*$H186*IF($M186="BASE",$L186/$E186,$L186))</f>
        <v/>
      </c>
      <c r="O186" s="22">
        <f>IF($J186&lt;&gt;"",$J186,IF(OR($E186="",$G186="",$H186="",$L186=""),"",($G186-$E186)*IF($C186="فروش",-1,1)*$H186*IF($M186="BASE",$L186/$G186,$L186)))</f>
        <v/>
      </c>
      <c r="P186" s="22">
        <f>IF($O186="","",$O186-N($I186))</f>
        <v/>
      </c>
      <c r="Q186" s="23">
        <f>IF(OR($P186="",$N186="",$N186=0),"",$P186/$N186)</f>
        <v/>
      </c>
      <c r="R186" s="21">
        <f>IF($P186="","",IF($P186&gt;0,"برد",IF($P186&lt;0,"باخت","سر به سر")))</f>
        <v/>
      </c>
      <c r="S186" s="22">
        <f>IF($P186="","",SUM($P$5:$P186))</f>
        <v/>
      </c>
      <c r="T186" s="24">
        <f>IF($R186="باخت",N($T185)+1,0)</f>
        <v/>
      </c>
      <c r="U186" s="22">
        <f>IF($S186="","",$S186-MAX($S$5:$S186))</f>
        <v/>
      </c>
    </row>
    <row r="187">
      <c r="A187" s="14" t="n"/>
      <c r="B187" s="15" t="n"/>
      <c r="C187" s="15" t="n"/>
      <c r="D187" s="15" t="n"/>
      <c r="E187" s="16" t="n"/>
      <c r="F187" s="16" t="n"/>
      <c r="G187" s="16" t="n"/>
      <c r="H187" s="17" t="n"/>
      <c r="I187" s="18" t="n"/>
      <c r="J187" s="18" t="n"/>
      <c r="K187" s="19" t="n"/>
      <c r="L187" s="20">
        <f>IF($B187="","",IFERROR(VLOOKUP($B187,'تنظیمات'!$A$4:$C$43,2,FALSE),1))</f>
        <v/>
      </c>
      <c r="M187" s="21">
        <f>IF($B187="","",IFERROR(VLOOKUP($B187,'تنظیمات'!$A$4:$C$43,3,FALSE),"USD"))</f>
        <v/>
      </c>
      <c r="N187" s="22">
        <f>IF(OR($E187="",$F187="",$H187="",$L187=""),"",ABS($E187-$F187)*$H187*IF($M187="BASE",$L187/$E187,$L187))</f>
        <v/>
      </c>
      <c r="O187" s="22">
        <f>IF($J187&lt;&gt;"",$J187,IF(OR($E187="",$G187="",$H187="",$L187=""),"",($G187-$E187)*IF($C187="فروش",-1,1)*$H187*IF($M187="BASE",$L187/$G187,$L187)))</f>
        <v/>
      </c>
      <c r="P187" s="22">
        <f>IF($O187="","",$O187-N($I187))</f>
        <v/>
      </c>
      <c r="Q187" s="23">
        <f>IF(OR($P187="",$N187="",$N187=0),"",$P187/$N187)</f>
        <v/>
      </c>
      <c r="R187" s="21">
        <f>IF($P187="","",IF($P187&gt;0,"برد",IF($P187&lt;0,"باخت","سر به سر")))</f>
        <v/>
      </c>
      <c r="S187" s="22">
        <f>IF($P187="","",SUM($P$5:$P187))</f>
        <v/>
      </c>
      <c r="T187" s="24">
        <f>IF($R187="باخت",N($T186)+1,0)</f>
        <v/>
      </c>
      <c r="U187" s="22">
        <f>IF($S187="","",$S187-MAX($S$5:$S187))</f>
        <v/>
      </c>
    </row>
    <row r="188">
      <c r="A188" s="14" t="n"/>
      <c r="B188" s="15" t="n"/>
      <c r="C188" s="15" t="n"/>
      <c r="D188" s="15" t="n"/>
      <c r="E188" s="16" t="n"/>
      <c r="F188" s="16" t="n"/>
      <c r="G188" s="16" t="n"/>
      <c r="H188" s="17" t="n"/>
      <c r="I188" s="18" t="n"/>
      <c r="J188" s="18" t="n"/>
      <c r="K188" s="19" t="n"/>
      <c r="L188" s="20">
        <f>IF($B188="","",IFERROR(VLOOKUP($B188,'تنظیمات'!$A$4:$C$43,2,FALSE),1))</f>
        <v/>
      </c>
      <c r="M188" s="21">
        <f>IF($B188="","",IFERROR(VLOOKUP($B188,'تنظیمات'!$A$4:$C$43,3,FALSE),"USD"))</f>
        <v/>
      </c>
      <c r="N188" s="22">
        <f>IF(OR($E188="",$F188="",$H188="",$L188=""),"",ABS($E188-$F188)*$H188*IF($M188="BASE",$L188/$E188,$L188))</f>
        <v/>
      </c>
      <c r="O188" s="22">
        <f>IF($J188&lt;&gt;"",$J188,IF(OR($E188="",$G188="",$H188="",$L188=""),"",($G188-$E188)*IF($C188="فروش",-1,1)*$H188*IF($M188="BASE",$L188/$G188,$L188)))</f>
        <v/>
      </c>
      <c r="P188" s="22">
        <f>IF($O188="","",$O188-N($I188))</f>
        <v/>
      </c>
      <c r="Q188" s="23">
        <f>IF(OR($P188="",$N188="",$N188=0),"",$P188/$N188)</f>
        <v/>
      </c>
      <c r="R188" s="21">
        <f>IF($P188="","",IF($P188&gt;0,"برد",IF($P188&lt;0,"باخت","سر به سر")))</f>
        <v/>
      </c>
      <c r="S188" s="22">
        <f>IF($P188="","",SUM($P$5:$P188))</f>
        <v/>
      </c>
      <c r="T188" s="24">
        <f>IF($R188="باخت",N($T187)+1,0)</f>
        <v/>
      </c>
      <c r="U188" s="22">
        <f>IF($S188="","",$S188-MAX($S$5:$S188))</f>
        <v/>
      </c>
    </row>
    <row r="189">
      <c r="A189" s="14" t="n"/>
      <c r="B189" s="15" t="n"/>
      <c r="C189" s="15" t="n"/>
      <c r="D189" s="15" t="n"/>
      <c r="E189" s="16" t="n"/>
      <c r="F189" s="16" t="n"/>
      <c r="G189" s="16" t="n"/>
      <c r="H189" s="17" t="n"/>
      <c r="I189" s="18" t="n"/>
      <c r="J189" s="18" t="n"/>
      <c r="K189" s="19" t="n"/>
      <c r="L189" s="20">
        <f>IF($B189="","",IFERROR(VLOOKUP($B189,'تنظیمات'!$A$4:$C$43,2,FALSE),1))</f>
        <v/>
      </c>
      <c r="M189" s="21">
        <f>IF($B189="","",IFERROR(VLOOKUP($B189,'تنظیمات'!$A$4:$C$43,3,FALSE),"USD"))</f>
        <v/>
      </c>
      <c r="N189" s="22">
        <f>IF(OR($E189="",$F189="",$H189="",$L189=""),"",ABS($E189-$F189)*$H189*IF($M189="BASE",$L189/$E189,$L189))</f>
        <v/>
      </c>
      <c r="O189" s="22">
        <f>IF($J189&lt;&gt;"",$J189,IF(OR($E189="",$G189="",$H189="",$L189=""),"",($G189-$E189)*IF($C189="فروش",-1,1)*$H189*IF($M189="BASE",$L189/$G189,$L189)))</f>
        <v/>
      </c>
      <c r="P189" s="22">
        <f>IF($O189="","",$O189-N($I189))</f>
        <v/>
      </c>
      <c r="Q189" s="23">
        <f>IF(OR($P189="",$N189="",$N189=0),"",$P189/$N189)</f>
        <v/>
      </c>
      <c r="R189" s="21">
        <f>IF($P189="","",IF($P189&gt;0,"برد",IF($P189&lt;0,"باخت","سر به سر")))</f>
        <v/>
      </c>
      <c r="S189" s="22">
        <f>IF($P189="","",SUM($P$5:$P189))</f>
        <v/>
      </c>
      <c r="T189" s="24">
        <f>IF($R189="باخت",N($T188)+1,0)</f>
        <v/>
      </c>
      <c r="U189" s="22">
        <f>IF($S189="","",$S189-MAX($S$5:$S189))</f>
        <v/>
      </c>
    </row>
    <row r="190">
      <c r="A190" s="14" t="n"/>
      <c r="B190" s="15" t="n"/>
      <c r="C190" s="15" t="n"/>
      <c r="D190" s="15" t="n"/>
      <c r="E190" s="16" t="n"/>
      <c r="F190" s="16" t="n"/>
      <c r="G190" s="16" t="n"/>
      <c r="H190" s="17" t="n"/>
      <c r="I190" s="18" t="n"/>
      <c r="J190" s="18" t="n"/>
      <c r="K190" s="19" t="n"/>
      <c r="L190" s="20">
        <f>IF($B190="","",IFERROR(VLOOKUP($B190,'تنظیمات'!$A$4:$C$43,2,FALSE),1))</f>
        <v/>
      </c>
      <c r="M190" s="21">
        <f>IF($B190="","",IFERROR(VLOOKUP($B190,'تنظیمات'!$A$4:$C$43,3,FALSE),"USD"))</f>
        <v/>
      </c>
      <c r="N190" s="22">
        <f>IF(OR($E190="",$F190="",$H190="",$L190=""),"",ABS($E190-$F190)*$H190*IF($M190="BASE",$L190/$E190,$L190))</f>
        <v/>
      </c>
      <c r="O190" s="22">
        <f>IF($J190&lt;&gt;"",$J190,IF(OR($E190="",$G190="",$H190="",$L190=""),"",($G190-$E190)*IF($C190="فروش",-1,1)*$H190*IF($M190="BASE",$L190/$G190,$L190)))</f>
        <v/>
      </c>
      <c r="P190" s="22">
        <f>IF($O190="","",$O190-N($I190))</f>
        <v/>
      </c>
      <c r="Q190" s="23">
        <f>IF(OR($P190="",$N190="",$N190=0),"",$P190/$N190)</f>
        <v/>
      </c>
      <c r="R190" s="21">
        <f>IF($P190="","",IF($P190&gt;0,"برد",IF($P190&lt;0,"باخت","سر به سر")))</f>
        <v/>
      </c>
      <c r="S190" s="22">
        <f>IF($P190="","",SUM($P$5:$P190))</f>
        <v/>
      </c>
      <c r="T190" s="24">
        <f>IF($R190="باخت",N($T189)+1,0)</f>
        <v/>
      </c>
      <c r="U190" s="22">
        <f>IF($S190="","",$S190-MAX($S$5:$S190))</f>
        <v/>
      </c>
    </row>
    <row r="191">
      <c r="A191" s="14" t="n"/>
      <c r="B191" s="15" t="n"/>
      <c r="C191" s="15" t="n"/>
      <c r="D191" s="15" t="n"/>
      <c r="E191" s="16" t="n"/>
      <c r="F191" s="16" t="n"/>
      <c r="G191" s="16" t="n"/>
      <c r="H191" s="17" t="n"/>
      <c r="I191" s="18" t="n"/>
      <c r="J191" s="18" t="n"/>
      <c r="K191" s="19" t="n"/>
      <c r="L191" s="20">
        <f>IF($B191="","",IFERROR(VLOOKUP($B191,'تنظیمات'!$A$4:$C$43,2,FALSE),1))</f>
        <v/>
      </c>
      <c r="M191" s="21">
        <f>IF($B191="","",IFERROR(VLOOKUP($B191,'تنظیمات'!$A$4:$C$43,3,FALSE),"USD"))</f>
        <v/>
      </c>
      <c r="N191" s="22">
        <f>IF(OR($E191="",$F191="",$H191="",$L191=""),"",ABS($E191-$F191)*$H191*IF($M191="BASE",$L191/$E191,$L191))</f>
        <v/>
      </c>
      <c r="O191" s="22">
        <f>IF($J191&lt;&gt;"",$J191,IF(OR($E191="",$G191="",$H191="",$L191=""),"",($G191-$E191)*IF($C191="فروش",-1,1)*$H191*IF($M191="BASE",$L191/$G191,$L191)))</f>
        <v/>
      </c>
      <c r="P191" s="22">
        <f>IF($O191="","",$O191-N($I191))</f>
        <v/>
      </c>
      <c r="Q191" s="23">
        <f>IF(OR($P191="",$N191="",$N191=0),"",$P191/$N191)</f>
        <v/>
      </c>
      <c r="R191" s="21">
        <f>IF($P191="","",IF($P191&gt;0,"برد",IF($P191&lt;0,"باخت","سر به سر")))</f>
        <v/>
      </c>
      <c r="S191" s="22">
        <f>IF($P191="","",SUM($P$5:$P191))</f>
        <v/>
      </c>
      <c r="T191" s="24">
        <f>IF($R191="باخت",N($T190)+1,0)</f>
        <v/>
      </c>
      <c r="U191" s="22">
        <f>IF($S191="","",$S191-MAX($S$5:$S191))</f>
        <v/>
      </c>
    </row>
    <row r="192">
      <c r="A192" s="14" t="n"/>
      <c r="B192" s="15" t="n"/>
      <c r="C192" s="15" t="n"/>
      <c r="D192" s="15" t="n"/>
      <c r="E192" s="16" t="n"/>
      <c r="F192" s="16" t="n"/>
      <c r="G192" s="16" t="n"/>
      <c r="H192" s="17" t="n"/>
      <c r="I192" s="18" t="n"/>
      <c r="J192" s="18" t="n"/>
      <c r="K192" s="19" t="n"/>
      <c r="L192" s="20">
        <f>IF($B192="","",IFERROR(VLOOKUP($B192,'تنظیمات'!$A$4:$C$43,2,FALSE),1))</f>
        <v/>
      </c>
      <c r="M192" s="21">
        <f>IF($B192="","",IFERROR(VLOOKUP($B192,'تنظیمات'!$A$4:$C$43,3,FALSE),"USD"))</f>
        <v/>
      </c>
      <c r="N192" s="22">
        <f>IF(OR($E192="",$F192="",$H192="",$L192=""),"",ABS($E192-$F192)*$H192*IF($M192="BASE",$L192/$E192,$L192))</f>
        <v/>
      </c>
      <c r="O192" s="22">
        <f>IF($J192&lt;&gt;"",$J192,IF(OR($E192="",$G192="",$H192="",$L192=""),"",($G192-$E192)*IF($C192="فروش",-1,1)*$H192*IF($M192="BASE",$L192/$G192,$L192)))</f>
        <v/>
      </c>
      <c r="P192" s="22">
        <f>IF($O192="","",$O192-N($I192))</f>
        <v/>
      </c>
      <c r="Q192" s="23">
        <f>IF(OR($P192="",$N192="",$N192=0),"",$P192/$N192)</f>
        <v/>
      </c>
      <c r="R192" s="21">
        <f>IF($P192="","",IF($P192&gt;0,"برد",IF($P192&lt;0,"باخت","سر به سر")))</f>
        <v/>
      </c>
      <c r="S192" s="22">
        <f>IF($P192="","",SUM($P$5:$P192))</f>
        <v/>
      </c>
      <c r="T192" s="24">
        <f>IF($R192="باخت",N($T191)+1,0)</f>
        <v/>
      </c>
      <c r="U192" s="22">
        <f>IF($S192="","",$S192-MAX($S$5:$S192))</f>
        <v/>
      </c>
    </row>
    <row r="193">
      <c r="A193" s="14" t="n"/>
      <c r="B193" s="15" t="n"/>
      <c r="C193" s="15" t="n"/>
      <c r="D193" s="15" t="n"/>
      <c r="E193" s="16" t="n"/>
      <c r="F193" s="16" t="n"/>
      <c r="G193" s="16" t="n"/>
      <c r="H193" s="17" t="n"/>
      <c r="I193" s="18" t="n"/>
      <c r="J193" s="18" t="n"/>
      <c r="K193" s="19" t="n"/>
      <c r="L193" s="20">
        <f>IF($B193="","",IFERROR(VLOOKUP($B193,'تنظیمات'!$A$4:$C$43,2,FALSE),1))</f>
        <v/>
      </c>
      <c r="M193" s="21">
        <f>IF($B193="","",IFERROR(VLOOKUP($B193,'تنظیمات'!$A$4:$C$43,3,FALSE),"USD"))</f>
        <v/>
      </c>
      <c r="N193" s="22">
        <f>IF(OR($E193="",$F193="",$H193="",$L193=""),"",ABS($E193-$F193)*$H193*IF($M193="BASE",$L193/$E193,$L193))</f>
        <v/>
      </c>
      <c r="O193" s="22">
        <f>IF($J193&lt;&gt;"",$J193,IF(OR($E193="",$G193="",$H193="",$L193=""),"",($G193-$E193)*IF($C193="فروش",-1,1)*$H193*IF($M193="BASE",$L193/$G193,$L193)))</f>
        <v/>
      </c>
      <c r="P193" s="22">
        <f>IF($O193="","",$O193-N($I193))</f>
        <v/>
      </c>
      <c r="Q193" s="23">
        <f>IF(OR($P193="",$N193="",$N193=0),"",$P193/$N193)</f>
        <v/>
      </c>
      <c r="R193" s="21">
        <f>IF($P193="","",IF($P193&gt;0,"برد",IF($P193&lt;0,"باخت","سر به سر")))</f>
        <v/>
      </c>
      <c r="S193" s="22">
        <f>IF($P193="","",SUM($P$5:$P193))</f>
        <v/>
      </c>
      <c r="T193" s="24">
        <f>IF($R193="باخت",N($T192)+1,0)</f>
        <v/>
      </c>
      <c r="U193" s="22">
        <f>IF($S193="","",$S193-MAX($S$5:$S193))</f>
        <v/>
      </c>
    </row>
    <row r="194">
      <c r="A194" s="14" t="n"/>
      <c r="B194" s="15" t="n"/>
      <c r="C194" s="15" t="n"/>
      <c r="D194" s="15" t="n"/>
      <c r="E194" s="16" t="n"/>
      <c r="F194" s="16" t="n"/>
      <c r="G194" s="16" t="n"/>
      <c r="H194" s="17" t="n"/>
      <c r="I194" s="18" t="n"/>
      <c r="J194" s="18" t="n"/>
      <c r="K194" s="19" t="n"/>
      <c r="L194" s="20">
        <f>IF($B194="","",IFERROR(VLOOKUP($B194,'تنظیمات'!$A$4:$C$43,2,FALSE),1))</f>
        <v/>
      </c>
      <c r="M194" s="21">
        <f>IF($B194="","",IFERROR(VLOOKUP($B194,'تنظیمات'!$A$4:$C$43,3,FALSE),"USD"))</f>
        <v/>
      </c>
      <c r="N194" s="22">
        <f>IF(OR($E194="",$F194="",$H194="",$L194=""),"",ABS($E194-$F194)*$H194*IF($M194="BASE",$L194/$E194,$L194))</f>
        <v/>
      </c>
      <c r="O194" s="22">
        <f>IF($J194&lt;&gt;"",$J194,IF(OR($E194="",$G194="",$H194="",$L194=""),"",($G194-$E194)*IF($C194="فروش",-1,1)*$H194*IF($M194="BASE",$L194/$G194,$L194)))</f>
        <v/>
      </c>
      <c r="P194" s="22">
        <f>IF($O194="","",$O194-N($I194))</f>
        <v/>
      </c>
      <c r="Q194" s="23">
        <f>IF(OR($P194="",$N194="",$N194=0),"",$P194/$N194)</f>
        <v/>
      </c>
      <c r="R194" s="21">
        <f>IF($P194="","",IF($P194&gt;0,"برد",IF($P194&lt;0,"باخت","سر به سر")))</f>
        <v/>
      </c>
      <c r="S194" s="22">
        <f>IF($P194="","",SUM($P$5:$P194))</f>
        <v/>
      </c>
      <c r="T194" s="24">
        <f>IF($R194="باخت",N($T193)+1,0)</f>
        <v/>
      </c>
      <c r="U194" s="22">
        <f>IF($S194="","",$S194-MAX($S$5:$S194))</f>
        <v/>
      </c>
    </row>
    <row r="195">
      <c r="A195" s="14" t="n"/>
      <c r="B195" s="15" t="n"/>
      <c r="C195" s="15" t="n"/>
      <c r="D195" s="15" t="n"/>
      <c r="E195" s="16" t="n"/>
      <c r="F195" s="16" t="n"/>
      <c r="G195" s="16" t="n"/>
      <c r="H195" s="17" t="n"/>
      <c r="I195" s="18" t="n"/>
      <c r="J195" s="18" t="n"/>
      <c r="K195" s="19" t="n"/>
      <c r="L195" s="20">
        <f>IF($B195="","",IFERROR(VLOOKUP($B195,'تنظیمات'!$A$4:$C$43,2,FALSE),1))</f>
        <v/>
      </c>
      <c r="M195" s="21">
        <f>IF($B195="","",IFERROR(VLOOKUP($B195,'تنظیمات'!$A$4:$C$43,3,FALSE),"USD"))</f>
        <v/>
      </c>
      <c r="N195" s="22">
        <f>IF(OR($E195="",$F195="",$H195="",$L195=""),"",ABS($E195-$F195)*$H195*IF($M195="BASE",$L195/$E195,$L195))</f>
        <v/>
      </c>
      <c r="O195" s="22">
        <f>IF($J195&lt;&gt;"",$J195,IF(OR($E195="",$G195="",$H195="",$L195=""),"",($G195-$E195)*IF($C195="فروش",-1,1)*$H195*IF($M195="BASE",$L195/$G195,$L195)))</f>
        <v/>
      </c>
      <c r="P195" s="22">
        <f>IF($O195="","",$O195-N($I195))</f>
        <v/>
      </c>
      <c r="Q195" s="23">
        <f>IF(OR($P195="",$N195="",$N195=0),"",$P195/$N195)</f>
        <v/>
      </c>
      <c r="R195" s="21">
        <f>IF($P195="","",IF($P195&gt;0,"برد",IF($P195&lt;0,"باخت","سر به سر")))</f>
        <v/>
      </c>
      <c r="S195" s="22">
        <f>IF($P195="","",SUM($P$5:$P195))</f>
        <v/>
      </c>
      <c r="T195" s="24">
        <f>IF($R195="باخت",N($T194)+1,0)</f>
        <v/>
      </c>
      <c r="U195" s="22">
        <f>IF($S195="","",$S195-MAX($S$5:$S195))</f>
        <v/>
      </c>
    </row>
    <row r="196">
      <c r="A196" s="14" t="n"/>
      <c r="B196" s="15" t="n"/>
      <c r="C196" s="15" t="n"/>
      <c r="D196" s="15" t="n"/>
      <c r="E196" s="16" t="n"/>
      <c r="F196" s="16" t="n"/>
      <c r="G196" s="16" t="n"/>
      <c r="H196" s="17" t="n"/>
      <c r="I196" s="18" t="n"/>
      <c r="J196" s="18" t="n"/>
      <c r="K196" s="19" t="n"/>
      <c r="L196" s="20">
        <f>IF($B196="","",IFERROR(VLOOKUP($B196,'تنظیمات'!$A$4:$C$43,2,FALSE),1))</f>
        <v/>
      </c>
      <c r="M196" s="21">
        <f>IF($B196="","",IFERROR(VLOOKUP($B196,'تنظیمات'!$A$4:$C$43,3,FALSE),"USD"))</f>
        <v/>
      </c>
      <c r="N196" s="22">
        <f>IF(OR($E196="",$F196="",$H196="",$L196=""),"",ABS($E196-$F196)*$H196*IF($M196="BASE",$L196/$E196,$L196))</f>
        <v/>
      </c>
      <c r="O196" s="22">
        <f>IF($J196&lt;&gt;"",$J196,IF(OR($E196="",$G196="",$H196="",$L196=""),"",($G196-$E196)*IF($C196="فروش",-1,1)*$H196*IF($M196="BASE",$L196/$G196,$L196)))</f>
        <v/>
      </c>
      <c r="P196" s="22">
        <f>IF($O196="","",$O196-N($I196))</f>
        <v/>
      </c>
      <c r="Q196" s="23">
        <f>IF(OR($P196="",$N196="",$N196=0),"",$P196/$N196)</f>
        <v/>
      </c>
      <c r="R196" s="21">
        <f>IF($P196="","",IF($P196&gt;0,"برد",IF($P196&lt;0,"باخت","سر به سر")))</f>
        <v/>
      </c>
      <c r="S196" s="22">
        <f>IF($P196="","",SUM($P$5:$P196))</f>
        <v/>
      </c>
      <c r="T196" s="24">
        <f>IF($R196="باخت",N($T195)+1,0)</f>
        <v/>
      </c>
      <c r="U196" s="22">
        <f>IF($S196="","",$S196-MAX($S$5:$S196))</f>
        <v/>
      </c>
    </row>
    <row r="197">
      <c r="A197" s="14" t="n"/>
      <c r="B197" s="15" t="n"/>
      <c r="C197" s="15" t="n"/>
      <c r="D197" s="15" t="n"/>
      <c r="E197" s="16" t="n"/>
      <c r="F197" s="16" t="n"/>
      <c r="G197" s="16" t="n"/>
      <c r="H197" s="17" t="n"/>
      <c r="I197" s="18" t="n"/>
      <c r="J197" s="18" t="n"/>
      <c r="K197" s="19" t="n"/>
      <c r="L197" s="20">
        <f>IF($B197="","",IFERROR(VLOOKUP($B197,'تنظیمات'!$A$4:$C$43,2,FALSE),1))</f>
        <v/>
      </c>
      <c r="M197" s="21">
        <f>IF($B197="","",IFERROR(VLOOKUP($B197,'تنظیمات'!$A$4:$C$43,3,FALSE),"USD"))</f>
        <v/>
      </c>
      <c r="N197" s="22">
        <f>IF(OR($E197="",$F197="",$H197="",$L197=""),"",ABS($E197-$F197)*$H197*IF($M197="BASE",$L197/$E197,$L197))</f>
        <v/>
      </c>
      <c r="O197" s="22">
        <f>IF($J197&lt;&gt;"",$J197,IF(OR($E197="",$G197="",$H197="",$L197=""),"",($G197-$E197)*IF($C197="فروش",-1,1)*$H197*IF($M197="BASE",$L197/$G197,$L197)))</f>
        <v/>
      </c>
      <c r="P197" s="22">
        <f>IF($O197="","",$O197-N($I197))</f>
        <v/>
      </c>
      <c r="Q197" s="23">
        <f>IF(OR($P197="",$N197="",$N197=0),"",$P197/$N197)</f>
        <v/>
      </c>
      <c r="R197" s="21">
        <f>IF($P197="","",IF($P197&gt;0,"برد",IF($P197&lt;0,"باخت","سر به سر")))</f>
        <v/>
      </c>
      <c r="S197" s="22">
        <f>IF($P197="","",SUM($P$5:$P197))</f>
        <v/>
      </c>
      <c r="T197" s="24">
        <f>IF($R197="باخت",N($T196)+1,0)</f>
        <v/>
      </c>
      <c r="U197" s="22">
        <f>IF($S197="","",$S197-MAX($S$5:$S197))</f>
        <v/>
      </c>
    </row>
    <row r="198">
      <c r="A198" s="14" t="n"/>
      <c r="B198" s="15" t="n"/>
      <c r="C198" s="15" t="n"/>
      <c r="D198" s="15" t="n"/>
      <c r="E198" s="16" t="n"/>
      <c r="F198" s="16" t="n"/>
      <c r="G198" s="16" t="n"/>
      <c r="H198" s="17" t="n"/>
      <c r="I198" s="18" t="n"/>
      <c r="J198" s="18" t="n"/>
      <c r="K198" s="19" t="n"/>
      <c r="L198" s="20">
        <f>IF($B198="","",IFERROR(VLOOKUP($B198,'تنظیمات'!$A$4:$C$43,2,FALSE),1))</f>
        <v/>
      </c>
      <c r="M198" s="21">
        <f>IF($B198="","",IFERROR(VLOOKUP($B198,'تنظیمات'!$A$4:$C$43,3,FALSE),"USD"))</f>
        <v/>
      </c>
      <c r="N198" s="22">
        <f>IF(OR($E198="",$F198="",$H198="",$L198=""),"",ABS($E198-$F198)*$H198*IF($M198="BASE",$L198/$E198,$L198))</f>
        <v/>
      </c>
      <c r="O198" s="22">
        <f>IF($J198&lt;&gt;"",$J198,IF(OR($E198="",$G198="",$H198="",$L198=""),"",($G198-$E198)*IF($C198="فروش",-1,1)*$H198*IF($M198="BASE",$L198/$G198,$L198)))</f>
        <v/>
      </c>
      <c r="P198" s="22">
        <f>IF($O198="","",$O198-N($I198))</f>
        <v/>
      </c>
      <c r="Q198" s="23">
        <f>IF(OR($P198="",$N198="",$N198=0),"",$P198/$N198)</f>
        <v/>
      </c>
      <c r="R198" s="21">
        <f>IF($P198="","",IF($P198&gt;0,"برد",IF($P198&lt;0,"باخت","سر به سر")))</f>
        <v/>
      </c>
      <c r="S198" s="22">
        <f>IF($P198="","",SUM($P$5:$P198))</f>
        <v/>
      </c>
      <c r="T198" s="24">
        <f>IF($R198="باخت",N($T197)+1,0)</f>
        <v/>
      </c>
      <c r="U198" s="22">
        <f>IF($S198="","",$S198-MAX($S$5:$S198))</f>
        <v/>
      </c>
    </row>
    <row r="199">
      <c r="A199" s="14" t="n"/>
      <c r="B199" s="15" t="n"/>
      <c r="C199" s="15" t="n"/>
      <c r="D199" s="15" t="n"/>
      <c r="E199" s="16" t="n"/>
      <c r="F199" s="16" t="n"/>
      <c r="G199" s="16" t="n"/>
      <c r="H199" s="17" t="n"/>
      <c r="I199" s="18" t="n"/>
      <c r="J199" s="18" t="n"/>
      <c r="K199" s="19" t="n"/>
      <c r="L199" s="20">
        <f>IF($B199="","",IFERROR(VLOOKUP($B199,'تنظیمات'!$A$4:$C$43,2,FALSE),1))</f>
        <v/>
      </c>
      <c r="M199" s="21">
        <f>IF($B199="","",IFERROR(VLOOKUP($B199,'تنظیمات'!$A$4:$C$43,3,FALSE),"USD"))</f>
        <v/>
      </c>
      <c r="N199" s="22">
        <f>IF(OR($E199="",$F199="",$H199="",$L199=""),"",ABS($E199-$F199)*$H199*IF($M199="BASE",$L199/$E199,$L199))</f>
        <v/>
      </c>
      <c r="O199" s="22">
        <f>IF($J199&lt;&gt;"",$J199,IF(OR($E199="",$G199="",$H199="",$L199=""),"",($G199-$E199)*IF($C199="فروش",-1,1)*$H199*IF($M199="BASE",$L199/$G199,$L199)))</f>
        <v/>
      </c>
      <c r="P199" s="22">
        <f>IF($O199="","",$O199-N($I199))</f>
        <v/>
      </c>
      <c r="Q199" s="23">
        <f>IF(OR($P199="",$N199="",$N199=0),"",$P199/$N199)</f>
        <v/>
      </c>
      <c r="R199" s="21">
        <f>IF($P199="","",IF($P199&gt;0,"برد",IF($P199&lt;0,"باخت","سر به سر")))</f>
        <v/>
      </c>
      <c r="S199" s="22">
        <f>IF($P199="","",SUM($P$5:$P199))</f>
        <v/>
      </c>
      <c r="T199" s="24">
        <f>IF($R199="باخت",N($T198)+1,0)</f>
        <v/>
      </c>
      <c r="U199" s="22">
        <f>IF($S199="","",$S199-MAX($S$5:$S199))</f>
        <v/>
      </c>
    </row>
    <row r="200">
      <c r="A200" s="14" t="n"/>
      <c r="B200" s="15" t="n"/>
      <c r="C200" s="15" t="n"/>
      <c r="D200" s="15" t="n"/>
      <c r="E200" s="16" t="n"/>
      <c r="F200" s="16" t="n"/>
      <c r="G200" s="16" t="n"/>
      <c r="H200" s="17" t="n"/>
      <c r="I200" s="18" t="n"/>
      <c r="J200" s="18" t="n"/>
      <c r="K200" s="19" t="n"/>
      <c r="L200" s="20">
        <f>IF($B200="","",IFERROR(VLOOKUP($B200,'تنظیمات'!$A$4:$C$43,2,FALSE),1))</f>
        <v/>
      </c>
      <c r="M200" s="21">
        <f>IF($B200="","",IFERROR(VLOOKUP($B200,'تنظیمات'!$A$4:$C$43,3,FALSE),"USD"))</f>
        <v/>
      </c>
      <c r="N200" s="22">
        <f>IF(OR($E200="",$F200="",$H200="",$L200=""),"",ABS($E200-$F200)*$H200*IF($M200="BASE",$L200/$E200,$L200))</f>
        <v/>
      </c>
      <c r="O200" s="22">
        <f>IF($J200&lt;&gt;"",$J200,IF(OR($E200="",$G200="",$H200="",$L200=""),"",($G200-$E200)*IF($C200="فروش",-1,1)*$H200*IF($M200="BASE",$L200/$G200,$L200)))</f>
        <v/>
      </c>
      <c r="P200" s="22">
        <f>IF($O200="","",$O200-N($I200))</f>
        <v/>
      </c>
      <c r="Q200" s="23">
        <f>IF(OR($P200="",$N200="",$N200=0),"",$P200/$N200)</f>
        <v/>
      </c>
      <c r="R200" s="21">
        <f>IF($P200="","",IF($P200&gt;0,"برد",IF($P200&lt;0,"باخت","سر به سر")))</f>
        <v/>
      </c>
      <c r="S200" s="22">
        <f>IF($P200="","",SUM($P$5:$P200))</f>
        <v/>
      </c>
      <c r="T200" s="24">
        <f>IF($R200="باخت",N($T199)+1,0)</f>
        <v/>
      </c>
      <c r="U200" s="22">
        <f>IF($S200="","",$S200-MAX($S$5:$S200))</f>
        <v/>
      </c>
    </row>
    <row r="201">
      <c r="A201" s="14" t="n"/>
      <c r="B201" s="15" t="n"/>
      <c r="C201" s="15" t="n"/>
      <c r="D201" s="15" t="n"/>
      <c r="E201" s="16" t="n"/>
      <c r="F201" s="16" t="n"/>
      <c r="G201" s="16" t="n"/>
      <c r="H201" s="17" t="n"/>
      <c r="I201" s="18" t="n"/>
      <c r="J201" s="18" t="n"/>
      <c r="K201" s="19" t="n"/>
      <c r="L201" s="20">
        <f>IF($B201="","",IFERROR(VLOOKUP($B201,'تنظیمات'!$A$4:$C$43,2,FALSE),1))</f>
        <v/>
      </c>
      <c r="M201" s="21">
        <f>IF($B201="","",IFERROR(VLOOKUP($B201,'تنظیمات'!$A$4:$C$43,3,FALSE),"USD"))</f>
        <v/>
      </c>
      <c r="N201" s="22">
        <f>IF(OR($E201="",$F201="",$H201="",$L201=""),"",ABS($E201-$F201)*$H201*IF($M201="BASE",$L201/$E201,$L201))</f>
        <v/>
      </c>
      <c r="O201" s="22">
        <f>IF($J201&lt;&gt;"",$J201,IF(OR($E201="",$G201="",$H201="",$L201=""),"",($G201-$E201)*IF($C201="فروش",-1,1)*$H201*IF($M201="BASE",$L201/$G201,$L201)))</f>
        <v/>
      </c>
      <c r="P201" s="22">
        <f>IF($O201="","",$O201-N($I201))</f>
        <v/>
      </c>
      <c r="Q201" s="23">
        <f>IF(OR($P201="",$N201="",$N201=0),"",$P201/$N201)</f>
        <v/>
      </c>
      <c r="R201" s="21">
        <f>IF($P201="","",IF($P201&gt;0,"برد",IF($P201&lt;0,"باخت","سر به سر")))</f>
        <v/>
      </c>
      <c r="S201" s="22">
        <f>IF($P201="","",SUM($P$5:$P201))</f>
        <v/>
      </c>
      <c r="T201" s="24">
        <f>IF($R201="باخت",N($T200)+1,0)</f>
        <v/>
      </c>
      <c r="U201" s="22">
        <f>IF($S201="","",$S201-MAX($S$5:$S201))</f>
        <v/>
      </c>
    </row>
    <row r="202">
      <c r="A202" s="14" t="n"/>
      <c r="B202" s="15" t="n"/>
      <c r="C202" s="15" t="n"/>
      <c r="D202" s="15" t="n"/>
      <c r="E202" s="16" t="n"/>
      <c r="F202" s="16" t="n"/>
      <c r="G202" s="16" t="n"/>
      <c r="H202" s="17" t="n"/>
      <c r="I202" s="18" t="n"/>
      <c r="J202" s="18" t="n"/>
      <c r="K202" s="19" t="n"/>
      <c r="L202" s="20">
        <f>IF($B202="","",IFERROR(VLOOKUP($B202,'تنظیمات'!$A$4:$C$43,2,FALSE),1))</f>
        <v/>
      </c>
      <c r="M202" s="21">
        <f>IF($B202="","",IFERROR(VLOOKUP($B202,'تنظیمات'!$A$4:$C$43,3,FALSE),"USD"))</f>
        <v/>
      </c>
      <c r="N202" s="22">
        <f>IF(OR($E202="",$F202="",$H202="",$L202=""),"",ABS($E202-$F202)*$H202*IF($M202="BASE",$L202/$E202,$L202))</f>
        <v/>
      </c>
      <c r="O202" s="22">
        <f>IF($J202&lt;&gt;"",$J202,IF(OR($E202="",$G202="",$H202="",$L202=""),"",($G202-$E202)*IF($C202="فروش",-1,1)*$H202*IF($M202="BASE",$L202/$G202,$L202)))</f>
        <v/>
      </c>
      <c r="P202" s="22">
        <f>IF($O202="","",$O202-N($I202))</f>
        <v/>
      </c>
      <c r="Q202" s="23">
        <f>IF(OR($P202="",$N202="",$N202=0),"",$P202/$N202)</f>
        <v/>
      </c>
      <c r="R202" s="21">
        <f>IF($P202="","",IF($P202&gt;0,"برد",IF($P202&lt;0,"باخت","سر به سر")))</f>
        <v/>
      </c>
      <c r="S202" s="22">
        <f>IF($P202="","",SUM($P$5:$P202))</f>
        <v/>
      </c>
      <c r="T202" s="24">
        <f>IF($R202="باخت",N($T201)+1,0)</f>
        <v/>
      </c>
      <c r="U202" s="22">
        <f>IF($S202="","",$S202-MAX($S$5:$S202))</f>
        <v/>
      </c>
    </row>
    <row r="203">
      <c r="A203" s="14" t="n"/>
      <c r="B203" s="15" t="n"/>
      <c r="C203" s="15" t="n"/>
      <c r="D203" s="15" t="n"/>
      <c r="E203" s="16" t="n"/>
      <c r="F203" s="16" t="n"/>
      <c r="G203" s="16" t="n"/>
      <c r="H203" s="17" t="n"/>
      <c r="I203" s="18" t="n"/>
      <c r="J203" s="18" t="n"/>
      <c r="K203" s="19" t="n"/>
      <c r="L203" s="20">
        <f>IF($B203="","",IFERROR(VLOOKUP($B203,'تنظیمات'!$A$4:$C$43,2,FALSE),1))</f>
        <v/>
      </c>
      <c r="M203" s="21">
        <f>IF($B203="","",IFERROR(VLOOKUP($B203,'تنظیمات'!$A$4:$C$43,3,FALSE),"USD"))</f>
        <v/>
      </c>
      <c r="N203" s="22">
        <f>IF(OR($E203="",$F203="",$H203="",$L203=""),"",ABS($E203-$F203)*$H203*IF($M203="BASE",$L203/$E203,$L203))</f>
        <v/>
      </c>
      <c r="O203" s="22">
        <f>IF($J203&lt;&gt;"",$J203,IF(OR($E203="",$G203="",$H203="",$L203=""),"",($G203-$E203)*IF($C203="فروش",-1,1)*$H203*IF($M203="BASE",$L203/$G203,$L203)))</f>
        <v/>
      </c>
      <c r="P203" s="22">
        <f>IF($O203="","",$O203-N($I203))</f>
        <v/>
      </c>
      <c r="Q203" s="23">
        <f>IF(OR($P203="",$N203="",$N203=0),"",$P203/$N203)</f>
        <v/>
      </c>
      <c r="R203" s="21">
        <f>IF($P203="","",IF($P203&gt;0,"برد",IF($P203&lt;0,"باخت","سر به سر")))</f>
        <v/>
      </c>
      <c r="S203" s="22">
        <f>IF($P203="","",SUM($P$5:$P203))</f>
        <v/>
      </c>
      <c r="T203" s="24">
        <f>IF($R203="باخت",N($T202)+1,0)</f>
        <v/>
      </c>
      <c r="U203" s="22">
        <f>IF($S203="","",$S203-MAX($S$5:$S203))</f>
        <v/>
      </c>
    </row>
    <row r="204">
      <c r="A204" s="14" t="n"/>
      <c r="B204" s="15" t="n"/>
      <c r="C204" s="15" t="n"/>
      <c r="D204" s="15" t="n"/>
      <c r="E204" s="16" t="n"/>
      <c r="F204" s="16" t="n"/>
      <c r="G204" s="16" t="n"/>
      <c r="H204" s="17" t="n"/>
      <c r="I204" s="18" t="n"/>
      <c r="J204" s="18" t="n"/>
      <c r="K204" s="19" t="n"/>
      <c r="L204" s="20">
        <f>IF($B204="","",IFERROR(VLOOKUP($B204,'تنظیمات'!$A$4:$C$43,2,FALSE),1))</f>
        <v/>
      </c>
      <c r="M204" s="21">
        <f>IF($B204="","",IFERROR(VLOOKUP($B204,'تنظیمات'!$A$4:$C$43,3,FALSE),"USD"))</f>
        <v/>
      </c>
      <c r="N204" s="22">
        <f>IF(OR($E204="",$F204="",$H204="",$L204=""),"",ABS($E204-$F204)*$H204*IF($M204="BASE",$L204/$E204,$L204))</f>
        <v/>
      </c>
      <c r="O204" s="22">
        <f>IF($J204&lt;&gt;"",$J204,IF(OR($E204="",$G204="",$H204="",$L204=""),"",($G204-$E204)*IF($C204="فروش",-1,1)*$H204*IF($M204="BASE",$L204/$G204,$L204)))</f>
        <v/>
      </c>
      <c r="P204" s="22">
        <f>IF($O204="","",$O204-N($I204))</f>
        <v/>
      </c>
      <c r="Q204" s="23">
        <f>IF(OR($P204="",$N204="",$N204=0),"",$P204/$N204)</f>
        <v/>
      </c>
      <c r="R204" s="21">
        <f>IF($P204="","",IF($P204&gt;0,"برد",IF($P204&lt;0,"باخت","سر به سر")))</f>
        <v/>
      </c>
      <c r="S204" s="22">
        <f>IF($P204="","",SUM($P$5:$P204))</f>
        <v/>
      </c>
      <c r="T204" s="24">
        <f>IF($R204="باخت",N($T203)+1,0)</f>
        <v/>
      </c>
      <c r="U204" s="22">
        <f>IF($S204="","",$S204-MAX($S$5:$S204))</f>
        <v/>
      </c>
    </row>
    <row r="205">
      <c r="A205" s="14" t="n"/>
      <c r="B205" s="15" t="n"/>
      <c r="C205" s="15" t="n"/>
      <c r="D205" s="15" t="n"/>
      <c r="E205" s="16" t="n"/>
      <c r="F205" s="16" t="n"/>
      <c r="G205" s="16" t="n"/>
      <c r="H205" s="17" t="n"/>
      <c r="I205" s="18" t="n"/>
      <c r="J205" s="18" t="n"/>
      <c r="K205" s="19" t="n"/>
      <c r="L205" s="20">
        <f>IF($B205="","",IFERROR(VLOOKUP($B205,'تنظیمات'!$A$4:$C$43,2,FALSE),1))</f>
        <v/>
      </c>
      <c r="M205" s="21">
        <f>IF($B205="","",IFERROR(VLOOKUP($B205,'تنظیمات'!$A$4:$C$43,3,FALSE),"USD"))</f>
        <v/>
      </c>
      <c r="N205" s="22">
        <f>IF(OR($E205="",$F205="",$H205="",$L205=""),"",ABS($E205-$F205)*$H205*IF($M205="BASE",$L205/$E205,$L205))</f>
        <v/>
      </c>
      <c r="O205" s="22">
        <f>IF($J205&lt;&gt;"",$J205,IF(OR($E205="",$G205="",$H205="",$L205=""),"",($G205-$E205)*IF($C205="فروش",-1,1)*$H205*IF($M205="BASE",$L205/$G205,$L205)))</f>
        <v/>
      </c>
      <c r="P205" s="22">
        <f>IF($O205="","",$O205-N($I205))</f>
        <v/>
      </c>
      <c r="Q205" s="23">
        <f>IF(OR($P205="",$N205="",$N205=0),"",$P205/$N205)</f>
        <v/>
      </c>
      <c r="R205" s="21">
        <f>IF($P205="","",IF($P205&gt;0,"برد",IF($P205&lt;0,"باخت","سر به سر")))</f>
        <v/>
      </c>
      <c r="S205" s="22">
        <f>IF($P205="","",SUM($P$5:$P205))</f>
        <v/>
      </c>
      <c r="T205" s="24">
        <f>IF($R205="باخت",N($T204)+1,0)</f>
        <v/>
      </c>
      <c r="U205" s="22">
        <f>IF($S205="","",$S205-MAX($S$5:$S205))</f>
        <v/>
      </c>
    </row>
    <row r="206">
      <c r="A206" s="14" t="n"/>
      <c r="B206" s="15" t="n"/>
      <c r="C206" s="15" t="n"/>
      <c r="D206" s="15" t="n"/>
      <c r="E206" s="16" t="n"/>
      <c r="F206" s="16" t="n"/>
      <c r="G206" s="16" t="n"/>
      <c r="H206" s="17" t="n"/>
      <c r="I206" s="18" t="n"/>
      <c r="J206" s="18" t="n"/>
      <c r="K206" s="19" t="n"/>
      <c r="L206" s="20">
        <f>IF($B206="","",IFERROR(VLOOKUP($B206,'تنظیمات'!$A$4:$C$43,2,FALSE),1))</f>
        <v/>
      </c>
      <c r="M206" s="21">
        <f>IF($B206="","",IFERROR(VLOOKUP($B206,'تنظیمات'!$A$4:$C$43,3,FALSE),"USD"))</f>
        <v/>
      </c>
      <c r="N206" s="22">
        <f>IF(OR($E206="",$F206="",$H206="",$L206=""),"",ABS($E206-$F206)*$H206*IF($M206="BASE",$L206/$E206,$L206))</f>
        <v/>
      </c>
      <c r="O206" s="22">
        <f>IF($J206&lt;&gt;"",$J206,IF(OR($E206="",$G206="",$H206="",$L206=""),"",($G206-$E206)*IF($C206="فروش",-1,1)*$H206*IF($M206="BASE",$L206/$G206,$L206)))</f>
        <v/>
      </c>
      <c r="P206" s="22">
        <f>IF($O206="","",$O206-N($I206))</f>
        <v/>
      </c>
      <c r="Q206" s="23">
        <f>IF(OR($P206="",$N206="",$N206=0),"",$P206/$N206)</f>
        <v/>
      </c>
      <c r="R206" s="21">
        <f>IF($P206="","",IF($P206&gt;0,"برد",IF($P206&lt;0,"باخت","سر به سر")))</f>
        <v/>
      </c>
      <c r="S206" s="22">
        <f>IF($P206="","",SUM($P$5:$P206))</f>
        <v/>
      </c>
      <c r="T206" s="24">
        <f>IF($R206="باخت",N($T205)+1,0)</f>
        <v/>
      </c>
      <c r="U206" s="22">
        <f>IF($S206="","",$S206-MAX($S$5:$S206))</f>
        <v/>
      </c>
    </row>
    <row r="207">
      <c r="A207" s="14" t="n"/>
      <c r="B207" s="15" t="n"/>
      <c r="C207" s="15" t="n"/>
      <c r="D207" s="15" t="n"/>
      <c r="E207" s="16" t="n"/>
      <c r="F207" s="16" t="n"/>
      <c r="G207" s="16" t="n"/>
      <c r="H207" s="17" t="n"/>
      <c r="I207" s="18" t="n"/>
      <c r="J207" s="18" t="n"/>
      <c r="K207" s="19" t="n"/>
      <c r="L207" s="20">
        <f>IF($B207="","",IFERROR(VLOOKUP($B207,'تنظیمات'!$A$4:$C$43,2,FALSE),1))</f>
        <v/>
      </c>
      <c r="M207" s="21">
        <f>IF($B207="","",IFERROR(VLOOKUP($B207,'تنظیمات'!$A$4:$C$43,3,FALSE),"USD"))</f>
        <v/>
      </c>
      <c r="N207" s="22">
        <f>IF(OR($E207="",$F207="",$H207="",$L207=""),"",ABS($E207-$F207)*$H207*IF($M207="BASE",$L207/$E207,$L207))</f>
        <v/>
      </c>
      <c r="O207" s="22">
        <f>IF($J207&lt;&gt;"",$J207,IF(OR($E207="",$G207="",$H207="",$L207=""),"",($G207-$E207)*IF($C207="فروش",-1,1)*$H207*IF($M207="BASE",$L207/$G207,$L207)))</f>
        <v/>
      </c>
      <c r="P207" s="22">
        <f>IF($O207="","",$O207-N($I207))</f>
        <v/>
      </c>
      <c r="Q207" s="23">
        <f>IF(OR($P207="",$N207="",$N207=0),"",$P207/$N207)</f>
        <v/>
      </c>
      <c r="R207" s="21">
        <f>IF($P207="","",IF($P207&gt;0,"برد",IF($P207&lt;0,"باخت","سر به سر")))</f>
        <v/>
      </c>
      <c r="S207" s="22">
        <f>IF($P207="","",SUM($P$5:$P207))</f>
        <v/>
      </c>
      <c r="T207" s="24">
        <f>IF($R207="باخت",N($T206)+1,0)</f>
        <v/>
      </c>
      <c r="U207" s="22">
        <f>IF($S207="","",$S207-MAX($S$5:$S207))</f>
        <v/>
      </c>
    </row>
    <row r="208">
      <c r="A208" s="14" t="n"/>
      <c r="B208" s="15" t="n"/>
      <c r="C208" s="15" t="n"/>
      <c r="D208" s="15" t="n"/>
      <c r="E208" s="16" t="n"/>
      <c r="F208" s="16" t="n"/>
      <c r="G208" s="16" t="n"/>
      <c r="H208" s="17" t="n"/>
      <c r="I208" s="18" t="n"/>
      <c r="J208" s="18" t="n"/>
      <c r="K208" s="19" t="n"/>
      <c r="L208" s="20">
        <f>IF($B208="","",IFERROR(VLOOKUP($B208,'تنظیمات'!$A$4:$C$43,2,FALSE),1))</f>
        <v/>
      </c>
      <c r="M208" s="21">
        <f>IF($B208="","",IFERROR(VLOOKUP($B208,'تنظیمات'!$A$4:$C$43,3,FALSE),"USD"))</f>
        <v/>
      </c>
      <c r="N208" s="22">
        <f>IF(OR($E208="",$F208="",$H208="",$L208=""),"",ABS($E208-$F208)*$H208*IF($M208="BASE",$L208/$E208,$L208))</f>
        <v/>
      </c>
      <c r="O208" s="22">
        <f>IF($J208&lt;&gt;"",$J208,IF(OR($E208="",$G208="",$H208="",$L208=""),"",($G208-$E208)*IF($C208="فروش",-1,1)*$H208*IF($M208="BASE",$L208/$G208,$L208)))</f>
        <v/>
      </c>
      <c r="P208" s="22">
        <f>IF($O208="","",$O208-N($I208))</f>
        <v/>
      </c>
      <c r="Q208" s="23">
        <f>IF(OR($P208="",$N208="",$N208=0),"",$P208/$N208)</f>
        <v/>
      </c>
      <c r="R208" s="21">
        <f>IF($P208="","",IF($P208&gt;0,"برد",IF($P208&lt;0,"باخت","سر به سر")))</f>
        <v/>
      </c>
      <c r="S208" s="22">
        <f>IF($P208="","",SUM($P$5:$P208))</f>
        <v/>
      </c>
      <c r="T208" s="24">
        <f>IF($R208="باخت",N($T207)+1,0)</f>
        <v/>
      </c>
      <c r="U208" s="22">
        <f>IF($S208="","",$S208-MAX($S$5:$S208))</f>
        <v/>
      </c>
    </row>
    <row r="209">
      <c r="A209" s="14" t="n"/>
      <c r="B209" s="15" t="n"/>
      <c r="C209" s="15" t="n"/>
      <c r="D209" s="15" t="n"/>
      <c r="E209" s="16" t="n"/>
      <c r="F209" s="16" t="n"/>
      <c r="G209" s="16" t="n"/>
      <c r="H209" s="17" t="n"/>
      <c r="I209" s="18" t="n"/>
      <c r="J209" s="18" t="n"/>
      <c r="K209" s="19" t="n"/>
      <c r="L209" s="20">
        <f>IF($B209="","",IFERROR(VLOOKUP($B209,'تنظیمات'!$A$4:$C$43,2,FALSE),1))</f>
        <v/>
      </c>
      <c r="M209" s="21">
        <f>IF($B209="","",IFERROR(VLOOKUP($B209,'تنظیمات'!$A$4:$C$43,3,FALSE),"USD"))</f>
        <v/>
      </c>
      <c r="N209" s="22">
        <f>IF(OR($E209="",$F209="",$H209="",$L209=""),"",ABS($E209-$F209)*$H209*IF($M209="BASE",$L209/$E209,$L209))</f>
        <v/>
      </c>
      <c r="O209" s="22">
        <f>IF($J209&lt;&gt;"",$J209,IF(OR($E209="",$G209="",$H209="",$L209=""),"",($G209-$E209)*IF($C209="فروش",-1,1)*$H209*IF($M209="BASE",$L209/$G209,$L209)))</f>
        <v/>
      </c>
      <c r="P209" s="22">
        <f>IF($O209="","",$O209-N($I209))</f>
        <v/>
      </c>
      <c r="Q209" s="23">
        <f>IF(OR($P209="",$N209="",$N209=0),"",$P209/$N209)</f>
        <v/>
      </c>
      <c r="R209" s="21">
        <f>IF($P209="","",IF($P209&gt;0,"برد",IF($P209&lt;0,"باخت","سر به سر")))</f>
        <v/>
      </c>
      <c r="S209" s="22">
        <f>IF($P209="","",SUM($P$5:$P209))</f>
        <v/>
      </c>
      <c r="T209" s="24">
        <f>IF($R209="باخت",N($T208)+1,0)</f>
        <v/>
      </c>
      <c r="U209" s="22">
        <f>IF($S209="","",$S209-MAX($S$5:$S209))</f>
        <v/>
      </c>
    </row>
    <row r="210">
      <c r="A210" s="14" t="n"/>
      <c r="B210" s="15" t="n"/>
      <c r="C210" s="15" t="n"/>
      <c r="D210" s="15" t="n"/>
      <c r="E210" s="16" t="n"/>
      <c r="F210" s="16" t="n"/>
      <c r="G210" s="16" t="n"/>
      <c r="H210" s="17" t="n"/>
      <c r="I210" s="18" t="n"/>
      <c r="J210" s="18" t="n"/>
      <c r="K210" s="19" t="n"/>
      <c r="L210" s="20">
        <f>IF($B210="","",IFERROR(VLOOKUP($B210,'تنظیمات'!$A$4:$C$43,2,FALSE),1))</f>
        <v/>
      </c>
      <c r="M210" s="21">
        <f>IF($B210="","",IFERROR(VLOOKUP($B210,'تنظیمات'!$A$4:$C$43,3,FALSE),"USD"))</f>
        <v/>
      </c>
      <c r="N210" s="22">
        <f>IF(OR($E210="",$F210="",$H210="",$L210=""),"",ABS($E210-$F210)*$H210*IF($M210="BASE",$L210/$E210,$L210))</f>
        <v/>
      </c>
      <c r="O210" s="22">
        <f>IF($J210&lt;&gt;"",$J210,IF(OR($E210="",$G210="",$H210="",$L210=""),"",($G210-$E210)*IF($C210="فروش",-1,1)*$H210*IF($M210="BASE",$L210/$G210,$L210)))</f>
        <v/>
      </c>
      <c r="P210" s="22">
        <f>IF($O210="","",$O210-N($I210))</f>
        <v/>
      </c>
      <c r="Q210" s="23">
        <f>IF(OR($P210="",$N210="",$N210=0),"",$P210/$N210)</f>
        <v/>
      </c>
      <c r="R210" s="21">
        <f>IF($P210="","",IF($P210&gt;0,"برد",IF($P210&lt;0,"باخت","سر به سر")))</f>
        <v/>
      </c>
      <c r="S210" s="22">
        <f>IF($P210="","",SUM($P$5:$P210))</f>
        <v/>
      </c>
      <c r="T210" s="24">
        <f>IF($R210="باخت",N($T209)+1,0)</f>
        <v/>
      </c>
      <c r="U210" s="22">
        <f>IF($S210="","",$S210-MAX($S$5:$S210))</f>
        <v/>
      </c>
    </row>
    <row r="211">
      <c r="A211" s="14" t="n"/>
      <c r="B211" s="15" t="n"/>
      <c r="C211" s="15" t="n"/>
      <c r="D211" s="15" t="n"/>
      <c r="E211" s="16" t="n"/>
      <c r="F211" s="16" t="n"/>
      <c r="G211" s="16" t="n"/>
      <c r="H211" s="17" t="n"/>
      <c r="I211" s="18" t="n"/>
      <c r="J211" s="18" t="n"/>
      <c r="K211" s="19" t="n"/>
      <c r="L211" s="20">
        <f>IF($B211="","",IFERROR(VLOOKUP($B211,'تنظیمات'!$A$4:$C$43,2,FALSE),1))</f>
        <v/>
      </c>
      <c r="M211" s="21">
        <f>IF($B211="","",IFERROR(VLOOKUP($B211,'تنظیمات'!$A$4:$C$43,3,FALSE),"USD"))</f>
        <v/>
      </c>
      <c r="N211" s="22">
        <f>IF(OR($E211="",$F211="",$H211="",$L211=""),"",ABS($E211-$F211)*$H211*IF($M211="BASE",$L211/$E211,$L211))</f>
        <v/>
      </c>
      <c r="O211" s="22">
        <f>IF($J211&lt;&gt;"",$J211,IF(OR($E211="",$G211="",$H211="",$L211=""),"",($G211-$E211)*IF($C211="فروش",-1,1)*$H211*IF($M211="BASE",$L211/$G211,$L211)))</f>
        <v/>
      </c>
      <c r="P211" s="22">
        <f>IF($O211="","",$O211-N($I211))</f>
        <v/>
      </c>
      <c r="Q211" s="23">
        <f>IF(OR($P211="",$N211="",$N211=0),"",$P211/$N211)</f>
        <v/>
      </c>
      <c r="R211" s="21">
        <f>IF($P211="","",IF($P211&gt;0,"برد",IF($P211&lt;0,"باخت","سر به سر")))</f>
        <v/>
      </c>
      <c r="S211" s="22">
        <f>IF($P211="","",SUM($P$5:$P211))</f>
        <v/>
      </c>
      <c r="T211" s="24">
        <f>IF($R211="باخت",N($T210)+1,0)</f>
        <v/>
      </c>
      <c r="U211" s="22">
        <f>IF($S211="","",$S211-MAX($S$5:$S211))</f>
        <v/>
      </c>
    </row>
    <row r="212">
      <c r="A212" s="14" t="n"/>
      <c r="B212" s="15" t="n"/>
      <c r="C212" s="15" t="n"/>
      <c r="D212" s="15" t="n"/>
      <c r="E212" s="16" t="n"/>
      <c r="F212" s="16" t="n"/>
      <c r="G212" s="16" t="n"/>
      <c r="H212" s="17" t="n"/>
      <c r="I212" s="18" t="n"/>
      <c r="J212" s="18" t="n"/>
      <c r="K212" s="19" t="n"/>
      <c r="L212" s="20">
        <f>IF($B212="","",IFERROR(VLOOKUP($B212,'تنظیمات'!$A$4:$C$43,2,FALSE),1))</f>
        <v/>
      </c>
      <c r="M212" s="21">
        <f>IF($B212="","",IFERROR(VLOOKUP($B212,'تنظیمات'!$A$4:$C$43,3,FALSE),"USD"))</f>
        <v/>
      </c>
      <c r="N212" s="22">
        <f>IF(OR($E212="",$F212="",$H212="",$L212=""),"",ABS($E212-$F212)*$H212*IF($M212="BASE",$L212/$E212,$L212))</f>
        <v/>
      </c>
      <c r="O212" s="22">
        <f>IF($J212&lt;&gt;"",$J212,IF(OR($E212="",$G212="",$H212="",$L212=""),"",($G212-$E212)*IF($C212="فروش",-1,1)*$H212*IF($M212="BASE",$L212/$G212,$L212)))</f>
        <v/>
      </c>
      <c r="P212" s="22">
        <f>IF($O212="","",$O212-N($I212))</f>
        <v/>
      </c>
      <c r="Q212" s="23">
        <f>IF(OR($P212="",$N212="",$N212=0),"",$P212/$N212)</f>
        <v/>
      </c>
      <c r="R212" s="21">
        <f>IF($P212="","",IF($P212&gt;0,"برد",IF($P212&lt;0,"باخت","سر به سر")))</f>
        <v/>
      </c>
      <c r="S212" s="22">
        <f>IF($P212="","",SUM($P$5:$P212))</f>
        <v/>
      </c>
      <c r="T212" s="24">
        <f>IF($R212="باخت",N($T211)+1,0)</f>
        <v/>
      </c>
      <c r="U212" s="22">
        <f>IF($S212="","",$S212-MAX($S$5:$S212))</f>
        <v/>
      </c>
    </row>
    <row r="213">
      <c r="A213" s="14" t="n"/>
      <c r="B213" s="15" t="n"/>
      <c r="C213" s="15" t="n"/>
      <c r="D213" s="15" t="n"/>
      <c r="E213" s="16" t="n"/>
      <c r="F213" s="16" t="n"/>
      <c r="G213" s="16" t="n"/>
      <c r="H213" s="17" t="n"/>
      <c r="I213" s="18" t="n"/>
      <c r="J213" s="18" t="n"/>
      <c r="K213" s="19" t="n"/>
      <c r="L213" s="20">
        <f>IF($B213="","",IFERROR(VLOOKUP($B213,'تنظیمات'!$A$4:$C$43,2,FALSE),1))</f>
        <v/>
      </c>
      <c r="M213" s="21">
        <f>IF($B213="","",IFERROR(VLOOKUP($B213,'تنظیمات'!$A$4:$C$43,3,FALSE),"USD"))</f>
        <v/>
      </c>
      <c r="N213" s="22">
        <f>IF(OR($E213="",$F213="",$H213="",$L213=""),"",ABS($E213-$F213)*$H213*IF($M213="BASE",$L213/$E213,$L213))</f>
        <v/>
      </c>
      <c r="O213" s="22">
        <f>IF($J213&lt;&gt;"",$J213,IF(OR($E213="",$G213="",$H213="",$L213=""),"",($G213-$E213)*IF($C213="فروش",-1,1)*$H213*IF($M213="BASE",$L213/$G213,$L213)))</f>
        <v/>
      </c>
      <c r="P213" s="22">
        <f>IF($O213="","",$O213-N($I213))</f>
        <v/>
      </c>
      <c r="Q213" s="23">
        <f>IF(OR($P213="",$N213="",$N213=0),"",$P213/$N213)</f>
        <v/>
      </c>
      <c r="R213" s="21">
        <f>IF($P213="","",IF($P213&gt;0,"برد",IF($P213&lt;0,"باخت","سر به سر")))</f>
        <v/>
      </c>
      <c r="S213" s="22">
        <f>IF($P213="","",SUM($P$5:$P213))</f>
        <v/>
      </c>
      <c r="T213" s="24">
        <f>IF($R213="باخت",N($T212)+1,0)</f>
        <v/>
      </c>
      <c r="U213" s="22">
        <f>IF($S213="","",$S213-MAX($S$5:$S213))</f>
        <v/>
      </c>
    </row>
    <row r="214">
      <c r="A214" s="14" t="n"/>
      <c r="B214" s="15" t="n"/>
      <c r="C214" s="15" t="n"/>
      <c r="D214" s="15" t="n"/>
      <c r="E214" s="16" t="n"/>
      <c r="F214" s="16" t="n"/>
      <c r="G214" s="16" t="n"/>
      <c r="H214" s="17" t="n"/>
      <c r="I214" s="18" t="n"/>
      <c r="J214" s="18" t="n"/>
      <c r="K214" s="19" t="n"/>
      <c r="L214" s="20">
        <f>IF($B214="","",IFERROR(VLOOKUP($B214,'تنظیمات'!$A$4:$C$43,2,FALSE),1))</f>
        <v/>
      </c>
      <c r="M214" s="21">
        <f>IF($B214="","",IFERROR(VLOOKUP($B214,'تنظیمات'!$A$4:$C$43,3,FALSE),"USD"))</f>
        <v/>
      </c>
      <c r="N214" s="22">
        <f>IF(OR($E214="",$F214="",$H214="",$L214=""),"",ABS($E214-$F214)*$H214*IF($M214="BASE",$L214/$E214,$L214))</f>
        <v/>
      </c>
      <c r="O214" s="22">
        <f>IF($J214&lt;&gt;"",$J214,IF(OR($E214="",$G214="",$H214="",$L214=""),"",($G214-$E214)*IF($C214="فروش",-1,1)*$H214*IF($M214="BASE",$L214/$G214,$L214)))</f>
        <v/>
      </c>
      <c r="P214" s="22">
        <f>IF($O214="","",$O214-N($I214))</f>
        <v/>
      </c>
      <c r="Q214" s="23">
        <f>IF(OR($P214="",$N214="",$N214=0),"",$P214/$N214)</f>
        <v/>
      </c>
      <c r="R214" s="21">
        <f>IF($P214="","",IF($P214&gt;0,"برد",IF($P214&lt;0,"باخت","سر به سر")))</f>
        <v/>
      </c>
      <c r="S214" s="22">
        <f>IF($P214="","",SUM($P$5:$P214))</f>
        <v/>
      </c>
      <c r="T214" s="24">
        <f>IF($R214="باخت",N($T213)+1,0)</f>
        <v/>
      </c>
      <c r="U214" s="22">
        <f>IF($S214="","",$S214-MAX($S$5:$S214))</f>
        <v/>
      </c>
    </row>
    <row r="215">
      <c r="A215" s="14" t="n"/>
      <c r="B215" s="15" t="n"/>
      <c r="C215" s="15" t="n"/>
      <c r="D215" s="15" t="n"/>
      <c r="E215" s="16" t="n"/>
      <c r="F215" s="16" t="n"/>
      <c r="G215" s="16" t="n"/>
      <c r="H215" s="17" t="n"/>
      <c r="I215" s="18" t="n"/>
      <c r="J215" s="18" t="n"/>
      <c r="K215" s="19" t="n"/>
      <c r="L215" s="20">
        <f>IF($B215="","",IFERROR(VLOOKUP($B215,'تنظیمات'!$A$4:$C$43,2,FALSE),1))</f>
        <v/>
      </c>
      <c r="M215" s="21">
        <f>IF($B215="","",IFERROR(VLOOKUP($B215,'تنظیمات'!$A$4:$C$43,3,FALSE),"USD"))</f>
        <v/>
      </c>
      <c r="N215" s="22">
        <f>IF(OR($E215="",$F215="",$H215="",$L215=""),"",ABS($E215-$F215)*$H215*IF($M215="BASE",$L215/$E215,$L215))</f>
        <v/>
      </c>
      <c r="O215" s="22">
        <f>IF($J215&lt;&gt;"",$J215,IF(OR($E215="",$G215="",$H215="",$L215=""),"",($G215-$E215)*IF($C215="فروش",-1,1)*$H215*IF($M215="BASE",$L215/$G215,$L215)))</f>
        <v/>
      </c>
      <c r="P215" s="22">
        <f>IF($O215="","",$O215-N($I215))</f>
        <v/>
      </c>
      <c r="Q215" s="23">
        <f>IF(OR($P215="",$N215="",$N215=0),"",$P215/$N215)</f>
        <v/>
      </c>
      <c r="R215" s="21">
        <f>IF($P215="","",IF($P215&gt;0,"برد",IF($P215&lt;0,"باخت","سر به سر")))</f>
        <v/>
      </c>
      <c r="S215" s="22">
        <f>IF($P215="","",SUM($P$5:$P215))</f>
        <v/>
      </c>
      <c r="T215" s="24">
        <f>IF($R215="باخت",N($T214)+1,0)</f>
        <v/>
      </c>
      <c r="U215" s="22">
        <f>IF($S215="","",$S215-MAX($S$5:$S215))</f>
        <v/>
      </c>
    </row>
    <row r="216">
      <c r="A216" s="14" t="n"/>
      <c r="B216" s="15" t="n"/>
      <c r="C216" s="15" t="n"/>
      <c r="D216" s="15" t="n"/>
      <c r="E216" s="16" t="n"/>
      <c r="F216" s="16" t="n"/>
      <c r="G216" s="16" t="n"/>
      <c r="H216" s="17" t="n"/>
      <c r="I216" s="18" t="n"/>
      <c r="J216" s="18" t="n"/>
      <c r="K216" s="19" t="n"/>
      <c r="L216" s="20">
        <f>IF($B216="","",IFERROR(VLOOKUP($B216,'تنظیمات'!$A$4:$C$43,2,FALSE),1))</f>
        <v/>
      </c>
      <c r="M216" s="21">
        <f>IF($B216="","",IFERROR(VLOOKUP($B216,'تنظیمات'!$A$4:$C$43,3,FALSE),"USD"))</f>
        <v/>
      </c>
      <c r="N216" s="22">
        <f>IF(OR($E216="",$F216="",$H216="",$L216=""),"",ABS($E216-$F216)*$H216*IF($M216="BASE",$L216/$E216,$L216))</f>
        <v/>
      </c>
      <c r="O216" s="22">
        <f>IF($J216&lt;&gt;"",$J216,IF(OR($E216="",$G216="",$H216="",$L216=""),"",($G216-$E216)*IF($C216="فروش",-1,1)*$H216*IF($M216="BASE",$L216/$G216,$L216)))</f>
        <v/>
      </c>
      <c r="P216" s="22">
        <f>IF($O216="","",$O216-N($I216))</f>
        <v/>
      </c>
      <c r="Q216" s="23">
        <f>IF(OR($P216="",$N216="",$N216=0),"",$P216/$N216)</f>
        <v/>
      </c>
      <c r="R216" s="21">
        <f>IF($P216="","",IF($P216&gt;0,"برد",IF($P216&lt;0,"باخت","سر به سر")))</f>
        <v/>
      </c>
      <c r="S216" s="22">
        <f>IF($P216="","",SUM($P$5:$P216))</f>
        <v/>
      </c>
      <c r="T216" s="24">
        <f>IF($R216="باخت",N($T215)+1,0)</f>
        <v/>
      </c>
      <c r="U216" s="22">
        <f>IF($S216="","",$S216-MAX($S$5:$S216))</f>
        <v/>
      </c>
    </row>
    <row r="217">
      <c r="A217" s="14" t="n"/>
      <c r="B217" s="15" t="n"/>
      <c r="C217" s="15" t="n"/>
      <c r="D217" s="15" t="n"/>
      <c r="E217" s="16" t="n"/>
      <c r="F217" s="16" t="n"/>
      <c r="G217" s="16" t="n"/>
      <c r="H217" s="17" t="n"/>
      <c r="I217" s="18" t="n"/>
      <c r="J217" s="18" t="n"/>
      <c r="K217" s="19" t="n"/>
      <c r="L217" s="20">
        <f>IF($B217="","",IFERROR(VLOOKUP($B217,'تنظیمات'!$A$4:$C$43,2,FALSE),1))</f>
        <v/>
      </c>
      <c r="M217" s="21">
        <f>IF($B217="","",IFERROR(VLOOKUP($B217,'تنظیمات'!$A$4:$C$43,3,FALSE),"USD"))</f>
        <v/>
      </c>
      <c r="N217" s="22">
        <f>IF(OR($E217="",$F217="",$H217="",$L217=""),"",ABS($E217-$F217)*$H217*IF($M217="BASE",$L217/$E217,$L217))</f>
        <v/>
      </c>
      <c r="O217" s="22">
        <f>IF($J217&lt;&gt;"",$J217,IF(OR($E217="",$G217="",$H217="",$L217=""),"",($G217-$E217)*IF($C217="فروش",-1,1)*$H217*IF($M217="BASE",$L217/$G217,$L217)))</f>
        <v/>
      </c>
      <c r="P217" s="22">
        <f>IF($O217="","",$O217-N($I217))</f>
        <v/>
      </c>
      <c r="Q217" s="23">
        <f>IF(OR($P217="",$N217="",$N217=0),"",$P217/$N217)</f>
        <v/>
      </c>
      <c r="R217" s="21">
        <f>IF($P217="","",IF($P217&gt;0,"برد",IF($P217&lt;0,"باخت","سر به سر")))</f>
        <v/>
      </c>
      <c r="S217" s="22">
        <f>IF($P217="","",SUM($P$5:$P217))</f>
        <v/>
      </c>
      <c r="T217" s="24">
        <f>IF($R217="باخت",N($T216)+1,0)</f>
        <v/>
      </c>
      <c r="U217" s="22">
        <f>IF($S217="","",$S217-MAX($S$5:$S217))</f>
        <v/>
      </c>
    </row>
    <row r="218">
      <c r="A218" s="14" t="n"/>
      <c r="B218" s="15" t="n"/>
      <c r="C218" s="15" t="n"/>
      <c r="D218" s="15" t="n"/>
      <c r="E218" s="16" t="n"/>
      <c r="F218" s="16" t="n"/>
      <c r="G218" s="16" t="n"/>
      <c r="H218" s="17" t="n"/>
      <c r="I218" s="18" t="n"/>
      <c r="J218" s="18" t="n"/>
      <c r="K218" s="19" t="n"/>
      <c r="L218" s="20">
        <f>IF($B218="","",IFERROR(VLOOKUP($B218,'تنظیمات'!$A$4:$C$43,2,FALSE),1))</f>
        <v/>
      </c>
      <c r="M218" s="21">
        <f>IF($B218="","",IFERROR(VLOOKUP($B218,'تنظیمات'!$A$4:$C$43,3,FALSE),"USD"))</f>
        <v/>
      </c>
      <c r="N218" s="22">
        <f>IF(OR($E218="",$F218="",$H218="",$L218=""),"",ABS($E218-$F218)*$H218*IF($M218="BASE",$L218/$E218,$L218))</f>
        <v/>
      </c>
      <c r="O218" s="22">
        <f>IF($J218&lt;&gt;"",$J218,IF(OR($E218="",$G218="",$H218="",$L218=""),"",($G218-$E218)*IF($C218="فروش",-1,1)*$H218*IF($M218="BASE",$L218/$G218,$L218)))</f>
        <v/>
      </c>
      <c r="P218" s="22">
        <f>IF($O218="","",$O218-N($I218))</f>
        <v/>
      </c>
      <c r="Q218" s="23">
        <f>IF(OR($P218="",$N218="",$N218=0),"",$P218/$N218)</f>
        <v/>
      </c>
      <c r="R218" s="21">
        <f>IF($P218="","",IF($P218&gt;0,"برد",IF($P218&lt;0,"باخت","سر به سر")))</f>
        <v/>
      </c>
      <c r="S218" s="22">
        <f>IF($P218="","",SUM($P$5:$P218))</f>
        <v/>
      </c>
      <c r="T218" s="24">
        <f>IF($R218="باخت",N($T217)+1,0)</f>
        <v/>
      </c>
      <c r="U218" s="22">
        <f>IF($S218="","",$S218-MAX($S$5:$S218))</f>
        <v/>
      </c>
    </row>
    <row r="219">
      <c r="A219" s="14" t="n"/>
      <c r="B219" s="15" t="n"/>
      <c r="C219" s="15" t="n"/>
      <c r="D219" s="15" t="n"/>
      <c r="E219" s="16" t="n"/>
      <c r="F219" s="16" t="n"/>
      <c r="G219" s="16" t="n"/>
      <c r="H219" s="17" t="n"/>
      <c r="I219" s="18" t="n"/>
      <c r="J219" s="18" t="n"/>
      <c r="K219" s="19" t="n"/>
      <c r="L219" s="20">
        <f>IF($B219="","",IFERROR(VLOOKUP($B219,'تنظیمات'!$A$4:$C$43,2,FALSE),1))</f>
        <v/>
      </c>
      <c r="M219" s="21">
        <f>IF($B219="","",IFERROR(VLOOKUP($B219,'تنظیمات'!$A$4:$C$43,3,FALSE),"USD"))</f>
        <v/>
      </c>
      <c r="N219" s="22">
        <f>IF(OR($E219="",$F219="",$H219="",$L219=""),"",ABS($E219-$F219)*$H219*IF($M219="BASE",$L219/$E219,$L219))</f>
        <v/>
      </c>
      <c r="O219" s="22">
        <f>IF($J219&lt;&gt;"",$J219,IF(OR($E219="",$G219="",$H219="",$L219=""),"",($G219-$E219)*IF($C219="فروش",-1,1)*$H219*IF($M219="BASE",$L219/$G219,$L219)))</f>
        <v/>
      </c>
      <c r="P219" s="22">
        <f>IF($O219="","",$O219-N($I219))</f>
        <v/>
      </c>
      <c r="Q219" s="23">
        <f>IF(OR($P219="",$N219="",$N219=0),"",$P219/$N219)</f>
        <v/>
      </c>
      <c r="R219" s="21">
        <f>IF($P219="","",IF($P219&gt;0,"برد",IF($P219&lt;0,"باخت","سر به سر")))</f>
        <v/>
      </c>
      <c r="S219" s="22">
        <f>IF($P219="","",SUM($P$5:$P219))</f>
        <v/>
      </c>
      <c r="T219" s="24">
        <f>IF($R219="باخت",N($T218)+1,0)</f>
        <v/>
      </c>
      <c r="U219" s="22">
        <f>IF($S219="","",$S219-MAX($S$5:$S219))</f>
        <v/>
      </c>
    </row>
    <row r="220">
      <c r="A220" s="14" t="n"/>
      <c r="B220" s="15" t="n"/>
      <c r="C220" s="15" t="n"/>
      <c r="D220" s="15" t="n"/>
      <c r="E220" s="16" t="n"/>
      <c r="F220" s="16" t="n"/>
      <c r="G220" s="16" t="n"/>
      <c r="H220" s="17" t="n"/>
      <c r="I220" s="18" t="n"/>
      <c r="J220" s="18" t="n"/>
      <c r="K220" s="19" t="n"/>
      <c r="L220" s="20">
        <f>IF($B220="","",IFERROR(VLOOKUP($B220,'تنظیمات'!$A$4:$C$43,2,FALSE),1))</f>
        <v/>
      </c>
      <c r="M220" s="21">
        <f>IF($B220="","",IFERROR(VLOOKUP($B220,'تنظیمات'!$A$4:$C$43,3,FALSE),"USD"))</f>
        <v/>
      </c>
      <c r="N220" s="22">
        <f>IF(OR($E220="",$F220="",$H220="",$L220=""),"",ABS($E220-$F220)*$H220*IF($M220="BASE",$L220/$E220,$L220))</f>
        <v/>
      </c>
      <c r="O220" s="22">
        <f>IF($J220&lt;&gt;"",$J220,IF(OR($E220="",$G220="",$H220="",$L220=""),"",($G220-$E220)*IF($C220="فروش",-1,1)*$H220*IF($M220="BASE",$L220/$G220,$L220)))</f>
        <v/>
      </c>
      <c r="P220" s="22">
        <f>IF($O220="","",$O220-N($I220))</f>
        <v/>
      </c>
      <c r="Q220" s="23">
        <f>IF(OR($P220="",$N220="",$N220=0),"",$P220/$N220)</f>
        <v/>
      </c>
      <c r="R220" s="21">
        <f>IF($P220="","",IF($P220&gt;0,"برد",IF($P220&lt;0,"باخت","سر به سر")))</f>
        <v/>
      </c>
      <c r="S220" s="22">
        <f>IF($P220="","",SUM($P$5:$P220))</f>
        <v/>
      </c>
      <c r="T220" s="24">
        <f>IF($R220="باخت",N($T219)+1,0)</f>
        <v/>
      </c>
      <c r="U220" s="22">
        <f>IF($S220="","",$S220-MAX($S$5:$S220))</f>
        <v/>
      </c>
    </row>
    <row r="221">
      <c r="A221" s="14" t="n"/>
      <c r="B221" s="15" t="n"/>
      <c r="C221" s="15" t="n"/>
      <c r="D221" s="15" t="n"/>
      <c r="E221" s="16" t="n"/>
      <c r="F221" s="16" t="n"/>
      <c r="G221" s="16" t="n"/>
      <c r="H221" s="17" t="n"/>
      <c r="I221" s="18" t="n"/>
      <c r="J221" s="18" t="n"/>
      <c r="K221" s="19" t="n"/>
      <c r="L221" s="20">
        <f>IF($B221="","",IFERROR(VLOOKUP($B221,'تنظیمات'!$A$4:$C$43,2,FALSE),1))</f>
        <v/>
      </c>
      <c r="M221" s="21">
        <f>IF($B221="","",IFERROR(VLOOKUP($B221,'تنظیمات'!$A$4:$C$43,3,FALSE),"USD"))</f>
        <v/>
      </c>
      <c r="N221" s="22">
        <f>IF(OR($E221="",$F221="",$H221="",$L221=""),"",ABS($E221-$F221)*$H221*IF($M221="BASE",$L221/$E221,$L221))</f>
        <v/>
      </c>
      <c r="O221" s="22">
        <f>IF($J221&lt;&gt;"",$J221,IF(OR($E221="",$G221="",$H221="",$L221=""),"",($G221-$E221)*IF($C221="فروش",-1,1)*$H221*IF($M221="BASE",$L221/$G221,$L221)))</f>
        <v/>
      </c>
      <c r="P221" s="22">
        <f>IF($O221="","",$O221-N($I221))</f>
        <v/>
      </c>
      <c r="Q221" s="23">
        <f>IF(OR($P221="",$N221="",$N221=0),"",$P221/$N221)</f>
        <v/>
      </c>
      <c r="R221" s="21">
        <f>IF($P221="","",IF($P221&gt;0,"برد",IF($P221&lt;0,"باخت","سر به سر")))</f>
        <v/>
      </c>
      <c r="S221" s="22">
        <f>IF($P221="","",SUM($P$5:$P221))</f>
        <v/>
      </c>
      <c r="T221" s="24">
        <f>IF($R221="باخت",N($T220)+1,0)</f>
        <v/>
      </c>
      <c r="U221" s="22">
        <f>IF($S221="","",$S221-MAX($S$5:$S221))</f>
        <v/>
      </c>
    </row>
    <row r="222">
      <c r="A222" s="14" t="n"/>
      <c r="B222" s="15" t="n"/>
      <c r="C222" s="15" t="n"/>
      <c r="D222" s="15" t="n"/>
      <c r="E222" s="16" t="n"/>
      <c r="F222" s="16" t="n"/>
      <c r="G222" s="16" t="n"/>
      <c r="H222" s="17" t="n"/>
      <c r="I222" s="18" t="n"/>
      <c r="J222" s="18" t="n"/>
      <c r="K222" s="19" t="n"/>
      <c r="L222" s="20">
        <f>IF($B222="","",IFERROR(VLOOKUP($B222,'تنظیمات'!$A$4:$C$43,2,FALSE),1))</f>
        <v/>
      </c>
      <c r="M222" s="21">
        <f>IF($B222="","",IFERROR(VLOOKUP($B222,'تنظیمات'!$A$4:$C$43,3,FALSE),"USD"))</f>
        <v/>
      </c>
      <c r="N222" s="22">
        <f>IF(OR($E222="",$F222="",$H222="",$L222=""),"",ABS($E222-$F222)*$H222*IF($M222="BASE",$L222/$E222,$L222))</f>
        <v/>
      </c>
      <c r="O222" s="22">
        <f>IF($J222&lt;&gt;"",$J222,IF(OR($E222="",$G222="",$H222="",$L222=""),"",($G222-$E222)*IF($C222="فروش",-1,1)*$H222*IF($M222="BASE",$L222/$G222,$L222)))</f>
        <v/>
      </c>
      <c r="P222" s="22">
        <f>IF($O222="","",$O222-N($I222))</f>
        <v/>
      </c>
      <c r="Q222" s="23">
        <f>IF(OR($P222="",$N222="",$N222=0),"",$P222/$N222)</f>
        <v/>
      </c>
      <c r="R222" s="21">
        <f>IF($P222="","",IF($P222&gt;0,"برد",IF($P222&lt;0,"باخت","سر به سر")))</f>
        <v/>
      </c>
      <c r="S222" s="22">
        <f>IF($P222="","",SUM($P$5:$P222))</f>
        <v/>
      </c>
      <c r="T222" s="24">
        <f>IF($R222="باخت",N($T221)+1,0)</f>
        <v/>
      </c>
      <c r="U222" s="22">
        <f>IF($S222="","",$S222-MAX($S$5:$S222))</f>
        <v/>
      </c>
    </row>
    <row r="223">
      <c r="A223" s="14" t="n"/>
      <c r="B223" s="15" t="n"/>
      <c r="C223" s="15" t="n"/>
      <c r="D223" s="15" t="n"/>
      <c r="E223" s="16" t="n"/>
      <c r="F223" s="16" t="n"/>
      <c r="G223" s="16" t="n"/>
      <c r="H223" s="17" t="n"/>
      <c r="I223" s="18" t="n"/>
      <c r="J223" s="18" t="n"/>
      <c r="K223" s="19" t="n"/>
      <c r="L223" s="20">
        <f>IF($B223="","",IFERROR(VLOOKUP($B223,'تنظیمات'!$A$4:$C$43,2,FALSE),1))</f>
        <v/>
      </c>
      <c r="M223" s="21">
        <f>IF($B223="","",IFERROR(VLOOKUP($B223,'تنظیمات'!$A$4:$C$43,3,FALSE),"USD"))</f>
        <v/>
      </c>
      <c r="N223" s="22">
        <f>IF(OR($E223="",$F223="",$H223="",$L223=""),"",ABS($E223-$F223)*$H223*IF($M223="BASE",$L223/$E223,$L223))</f>
        <v/>
      </c>
      <c r="O223" s="22">
        <f>IF($J223&lt;&gt;"",$J223,IF(OR($E223="",$G223="",$H223="",$L223=""),"",($G223-$E223)*IF($C223="فروش",-1,1)*$H223*IF($M223="BASE",$L223/$G223,$L223)))</f>
        <v/>
      </c>
      <c r="P223" s="22">
        <f>IF($O223="","",$O223-N($I223))</f>
        <v/>
      </c>
      <c r="Q223" s="23">
        <f>IF(OR($P223="",$N223="",$N223=0),"",$P223/$N223)</f>
        <v/>
      </c>
      <c r="R223" s="21">
        <f>IF($P223="","",IF($P223&gt;0,"برد",IF($P223&lt;0,"باخت","سر به سر")))</f>
        <v/>
      </c>
      <c r="S223" s="22">
        <f>IF($P223="","",SUM($P$5:$P223))</f>
        <v/>
      </c>
      <c r="T223" s="24">
        <f>IF($R223="باخت",N($T222)+1,0)</f>
        <v/>
      </c>
      <c r="U223" s="22">
        <f>IF($S223="","",$S223-MAX($S$5:$S223))</f>
        <v/>
      </c>
    </row>
    <row r="224">
      <c r="A224" s="14" t="n"/>
      <c r="B224" s="15" t="n"/>
      <c r="C224" s="15" t="n"/>
      <c r="D224" s="15" t="n"/>
      <c r="E224" s="16" t="n"/>
      <c r="F224" s="16" t="n"/>
      <c r="G224" s="16" t="n"/>
      <c r="H224" s="17" t="n"/>
      <c r="I224" s="18" t="n"/>
      <c r="J224" s="18" t="n"/>
      <c r="K224" s="19" t="n"/>
      <c r="L224" s="20">
        <f>IF($B224="","",IFERROR(VLOOKUP($B224,'تنظیمات'!$A$4:$C$43,2,FALSE),1))</f>
        <v/>
      </c>
      <c r="M224" s="21">
        <f>IF($B224="","",IFERROR(VLOOKUP($B224,'تنظیمات'!$A$4:$C$43,3,FALSE),"USD"))</f>
        <v/>
      </c>
      <c r="N224" s="22">
        <f>IF(OR($E224="",$F224="",$H224="",$L224=""),"",ABS($E224-$F224)*$H224*IF($M224="BASE",$L224/$E224,$L224))</f>
        <v/>
      </c>
      <c r="O224" s="22">
        <f>IF($J224&lt;&gt;"",$J224,IF(OR($E224="",$G224="",$H224="",$L224=""),"",($G224-$E224)*IF($C224="فروش",-1,1)*$H224*IF($M224="BASE",$L224/$G224,$L224)))</f>
        <v/>
      </c>
      <c r="P224" s="22">
        <f>IF($O224="","",$O224-N($I224))</f>
        <v/>
      </c>
      <c r="Q224" s="23">
        <f>IF(OR($P224="",$N224="",$N224=0),"",$P224/$N224)</f>
        <v/>
      </c>
      <c r="R224" s="21">
        <f>IF($P224="","",IF($P224&gt;0,"برد",IF($P224&lt;0,"باخت","سر به سر")))</f>
        <v/>
      </c>
      <c r="S224" s="22">
        <f>IF($P224="","",SUM($P$5:$P224))</f>
        <v/>
      </c>
      <c r="T224" s="24">
        <f>IF($R224="باخت",N($T223)+1,0)</f>
        <v/>
      </c>
      <c r="U224" s="22">
        <f>IF($S224="","",$S224-MAX($S$5:$S224))</f>
        <v/>
      </c>
    </row>
    <row r="225">
      <c r="A225" s="14" t="n"/>
      <c r="B225" s="15" t="n"/>
      <c r="C225" s="15" t="n"/>
      <c r="D225" s="15" t="n"/>
      <c r="E225" s="16" t="n"/>
      <c r="F225" s="16" t="n"/>
      <c r="G225" s="16" t="n"/>
      <c r="H225" s="17" t="n"/>
      <c r="I225" s="18" t="n"/>
      <c r="J225" s="18" t="n"/>
      <c r="K225" s="19" t="n"/>
      <c r="L225" s="20">
        <f>IF($B225="","",IFERROR(VLOOKUP($B225,'تنظیمات'!$A$4:$C$43,2,FALSE),1))</f>
        <v/>
      </c>
      <c r="M225" s="21">
        <f>IF($B225="","",IFERROR(VLOOKUP($B225,'تنظیمات'!$A$4:$C$43,3,FALSE),"USD"))</f>
        <v/>
      </c>
      <c r="N225" s="22">
        <f>IF(OR($E225="",$F225="",$H225="",$L225=""),"",ABS($E225-$F225)*$H225*IF($M225="BASE",$L225/$E225,$L225))</f>
        <v/>
      </c>
      <c r="O225" s="22">
        <f>IF($J225&lt;&gt;"",$J225,IF(OR($E225="",$G225="",$H225="",$L225=""),"",($G225-$E225)*IF($C225="فروش",-1,1)*$H225*IF($M225="BASE",$L225/$G225,$L225)))</f>
        <v/>
      </c>
      <c r="P225" s="22">
        <f>IF($O225="","",$O225-N($I225))</f>
        <v/>
      </c>
      <c r="Q225" s="23">
        <f>IF(OR($P225="",$N225="",$N225=0),"",$P225/$N225)</f>
        <v/>
      </c>
      <c r="R225" s="21">
        <f>IF($P225="","",IF($P225&gt;0,"برد",IF($P225&lt;0,"باخت","سر به سر")))</f>
        <v/>
      </c>
      <c r="S225" s="22">
        <f>IF($P225="","",SUM($P$5:$P225))</f>
        <v/>
      </c>
      <c r="T225" s="24">
        <f>IF($R225="باخت",N($T224)+1,0)</f>
        <v/>
      </c>
      <c r="U225" s="22">
        <f>IF($S225="","",$S225-MAX($S$5:$S225))</f>
        <v/>
      </c>
    </row>
    <row r="226">
      <c r="A226" s="14" t="n"/>
      <c r="B226" s="15" t="n"/>
      <c r="C226" s="15" t="n"/>
      <c r="D226" s="15" t="n"/>
      <c r="E226" s="16" t="n"/>
      <c r="F226" s="16" t="n"/>
      <c r="G226" s="16" t="n"/>
      <c r="H226" s="17" t="n"/>
      <c r="I226" s="18" t="n"/>
      <c r="J226" s="18" t="n"/>
      <c r="K226" s="19" t="n"/>
      <c r="L226" s="20">
        <f>IF($B226="","",IFERROR(VLOOKUP($B226,'تنظیمات'!$A$4:$C$43,2,FALSE),1))</f>
        <v/>
      </c>
      <c r="M226" s="21">
        <f>IF($B226="","",IFERROR(VLOOKUP($B226,'تنظیمات'!$A$4:$C$43,3,FALSE),"USD"))</f>
        <v/>
      </c>
      <c r="N226" s="22">
        <f>IF(OR($E226="",$F226="",$H226="",$L226=""),"",ABS($E226-$F226)*$H226*IF($M226="BASE",$L226/$E226,$L226))</f>
        <v/>
      </c>
      <c r="O226" s="22">
        <f>IF($J226&lt;&gt;"",$J226,IF(OR($E226="",$G226="",$H226="",$L226=""),"",($G226-$E226)*IF($C226="فروش",-1,1)*$H226*IF($M226="BASE",$L226/$G226,$L226)))</f>
        <v/>
      </c>
      <c r="P226" s="22">
        <f>IF($O226="","",$O226-N($I226))</f>
        <v/>
      </c>
      <c r="Q226" s="23">
        <f>IF(OR($P226="",$N226="",$N226=0),"",$P226/$N226)</f>
        <v/>
      </c>
      <c r="R226" s="21">
        <f>IF($P226="","",IF($P226&gt;0,"برد",IF($P226&lt;0,"باخت","سر به سر")))</f>
        <v/>
      </c>
      <c r="S226" s="22">
        <f>IF($P226="","",SUM($P$5:$P226))</f>
        <v/>
      </c>
      <c r="T226" s="24">
        <f>IF($R226="باخت",N($T225)+1,0)</f>
        <v/>
      </c>
      <c r="U226" s="22">
        <f>IF($S226="","",$S226-MAX($S$5:$S226))</f>
        <v/>
      </c>
    </row>
    <row r="227">
      <c r="A227" s="14" t="n"/>
      <c r="B227" s="15" t="n"/>
      <c r="C227" s="15" t="n"/>
      <c r="D227" s="15" t="n"/>
      <c r="E227" s="16" t="n"/>
      <c r="F227" s="16" t="n"/>
      <c r="G227" s="16" t="n"/>
      <c r="H227" s="17" t="n"/>
      <c r="I227" s="18" t="n"/>
      <c r="J227" s="18" t="n"/>
      <c r="K227" s="19" t="n"/>
      <c r="L227" s="20">
        <f>IF($B227="","",IFERROR(VLOOKUP($B227,'تنظیمات'!$A$4:$C$43,2,FALSE),1))</f>
        <v/>
      </c>
      <c r="M227" s="21">
        <f>IF($B227="","",IFERROR(VLOOKUP($B227,'تنظیمات'!$A$4:$C$43,3,FALSE),"USD"))</f>
        <v/>
      </c>
      <c r="N227" s="22">
        <f>IF(OR($E227="",$F227="",$H227="",$L227=""),"",ABS($E227-$F227)*$H227*IF($M227="BASE",$L227/$E227,$L227))</f>
        <v/>
      </c>
      <c r="O227" s="22">
        <f>IF($J227&lt;&gt;"",$J227,IF(OR($E227="",$G227="",$H227="",$L227=""),"",($G227-$E227)*IF($C227="فروش",-1,1)*$H227*IF($M227="BASE",$L227/$G227,$L227)))</f>
        <v/>
      </c>
      <c r="P227" s="22">
        <f>IF($O227="","",$O227-N($I227))</f>
        <v/>
      </c>
      <c r="Q227" s="23">
        <f>IF(OR($P227="",$N227="",$N227=0),"",$P227/$N227)</f>
        <v/>
      </c>
      <c r="R227" s="21">
        <f>IF($P227="","",IF($P227&gt;0,"برد",IF($P227&lt;0,"باخت","سر به سر")))</f>
        <v/>
      </c>
      <c r="S227" s="22">
        <f>IF($P227="","",SUM($P$5:$P227))</f>
        <v/>
      </c>
      <c r="T227" s="24">
        <f>IF($R227="باخت",N($T226)+1,0)</f>
        <v/>
      </c>
      <c r="U227" s="22">
        <f>IF($S227="","",$S227-MAX($S$5:$S227))</f>
        <v/>
      </c>
    </row>
    <row r="228">
      <c r="A228" s="14" t="n"/>
      <c r="B228" s="15" t="n"/>
      <c r="C228" s="15" t="n"/>
      <c r="D228" s="15" t="n"/>
      <c r="E228" s="16" t="n"/>
      <c r="F228" s="16" t="n"/>
      <c r="G228" s="16" t="n"/>
      <c r="H228" s="17" t="n"/>
      <c r="I228" s="18" t="n"/>
      <c r="J228" s="18" t="n"/>
      <c r="K228" s="19" t="n"/>
      <c r="L228" s="20">
        <f>IF($B228="","",IFERROR(VLOOKUP($B228,'تنظیمات'!$A$4:$C$43,2,FALSE),1))</f>
        <v/>
      </c>
      <c r="M228" s="21">
        <f>IF($B228="","",IFERROR(VLOOKUP($B228,'تنظیمات'!$A$4:$C$43,3,FALSE),"USD"))</f>
        <v/>
      </c>
      <c r="N228" s="22">
        <f>IF(OR($E228="",$F228="",$H228="",$L228=""),"",ABS($E228-$F228)*$H228*IF($M228="BASE",$L228/$E228,$L228))</f>
        <v/>
      </c>
      <c r="O228" s="22">
        <f>IF($J228&lt;&gt;"",$J228,IF(OR($E228="",$G228="",$H228="",$L228=""),"",($G228-$E228)*IF($C228="فروش",-1,1)*$H228*IF($M228="BASE",$L228/$G228,$L228)))</f>
        <v/>
      </c>
      <c r="P228" s="22">
        <f>IF($O228="","",$O228-N($I228))</f>
        <v/>
      </c>
      <c r="Q228" s="23">
        <f>IF(OR($P228="",$N228="",$N228=0),"",$P228/$N228)</f>
        <v/>
      </c>
      <c r="R228" s="21">
        <f>IF($P228="","",IF($P228&gt;0,"برد",IF($P228&lt;0,"باخت","سر به سر")))</f>
        <v/>
      </c>
      <c r="S228" s="22">
        <f>IF($P228="","",SUM($P$5:$P228))</f>
        <v/>
      </c>
      <c r="T228" s="24">
        <f>IF($R228="باخت",N($T227)+1,0)</f>
        <v/>
      </c>
      <c r="U228" s="22">
        <f>IF($S228="","",$S228-MAX($S$5:$S228))</f>
        <v/>
      </c>
    </row>
    <row r="229">
      <c r="A229" s="14" t="n"/>
      <c r="B229" s="15" t="n"/>
      <c r="C229" s="15" t="n"/>
      <c r="D229" s="15" t="n"/>
      <c r="E229" s="16" t="n"/>
      <c r="F229" s="16" t="n"/>
      <c r="G229" s="16" t="n"/>
      <c r="H229" s="17" t="n"/>
      <c r="I229" s="18" t="n"/>
      <c r="J229" s="18" t="n"/>
      <c r="K229" s="19" t="n"/>
      <c r="L229" s="20">
        <f>IF($B229="","",IFERROR(VLOOKUP($B229,'تنظیمات'!$A$4:$C$43,2,FALSE),1))</f>
        <v/>
      </c>
      <c r="M229" s="21">
        <f>IF($B229="","",IFERROR(VLOOKUP($B229,'تنظیمات'!$A$4:$C$43,3,FALSE),"USD"))</f>
        <v/>
      </c>
      <c r="N229" s="22">
        <f>IF(OR($E229="",$F229="",$H229="",$L229=""),"",ABS($E229-$F229)*$H229*IF($M229="BASE",$L229/$E229,$L229))</f>
        <v/>
      </c>
      <c r="O229" s="22">
        <f>IF($J229&lt;&gt;"",$J229,IF(OR($E229="",$G229="",$H229="",$L229=""),"",($G229-$E229)*IF($C229="فروش",-1,1)*$H229*IF($M229="BASE",$L229/$G229,$L229)))</f>
        <v/>
      </c>
      <c r="P229" s="22">
        <f>IF($O229="","",$O229-N($I229))</f>
        <v/>
      </c>
      <c r="Q229" s="23">
        <f>IF(OR($P229="",$N229="",$N229=0),"",$P229/$N229)</f>
        <v/>
      </c>
      <c r="R229" s="21">
        <f>IF($P229="","",IF($P229&gt;0,"برد",IF($P229&lt;0,"باخت","سر به سر")))</f>
        <v/>
      </c>
      <c r="S229" s="22">
        <f>IF($P229="","",SUM($P$5:$P229))</f>
        <v/>
      </c>
      <c r="T229" s="24">
        <f>IF($R229="باخت",N($T228)+1,0)</f>
        <v/>
      </c>
      <c r="U229" s="22">
        <f>IF($S229="","",$S229-MAX($S$5:$S229))</f>
        <v/>
      </c>
    </row>
    <row r="230">
      <c r="A230" s="14" t="n"/>
      <c r="B230" s="15" t="n"/>
      <c r="C230" s="15" t="n"/>
      <c r="D230" s="15" t="n"/>
      <c r="E230" s="16" t="n"/>
      <c r="F230" s="16" t="n"/>
      <c r="G230" s="16" t="n"/>
      <c r="H230" s="17" t="n"/>
      <c r="I230" s="18" t="n"/>
      <c r="J230" s="18" t="n"/>
      <c r="K230" s="19" t="n"/>
      <c r="L230" s="20">
        <f>IF($B230="","",IFERROR(VLOOKUP($B230,'تنظیمات'!$A$4:$C$43,2,FALSE),1))</f>
        <v/>
      </c>
      <c r="M230" s="21">
        <f>IF($B230="","",IFERROR(VLOOKUP($B230,'تنظیمات'!$A$4:$C$43,3,FALSE),"USD"))</f>
        <v/>
      </c>
      <c r="N230" s="22">
        <f>IF(OR($E230="",$F230="",$H230="",$L230=""),"",ABS($E230-$F230)*$H230*IF($M230="BASE",$L230/$E230,$L230))</f>
        <v/>
      </c>
      <c r="O230" s="22">
        <f>IF($J230&lt;&gt;"",$J230,IF(OR($E230="",$G230="",$H230="",$L230=""),"",($G230-$E230)*IF($C230="فروش",-1,1)*$H230*IF($M230="BASE",$L230/$G230,$L230)))</f>
        <v/>
      </c>
      <c r="P230" s="22">
        <f>IF($O230="","",$O230-N($I230))</f>
        <v/>
      </c>
      <c r="Q230" s="23">
        <f>IF(OR($P230="",$N230="",$N230=0),"",$P230/$N230)</f>
        <v/>
      </c>
      <c r="R230" s="21">
        <f>IF($P230="","",IF($P230&gt;0,"برد",IF($P230&lt;0,"باخت","سر به سر")))</f>
        <v/>
      </c>
      <c r="S230" s="22">
        <f>IF($P230="","",SUM($P$5:$P230))</f>
        <v/>
      </c>
      <c r="T230" s="24">
        <f>IF($R230="باخت",N($T229)+1,0)</f>
        <v/>
      </c>
      <c r="U230" s="22">
        <f>IF($S230="","",$S230-MAX($S$5:$S230))</f>
        <v/>
      </c>
    </row>
    <row r="231">
      <c r="A231" s="14" t="n"/>
      <c r="B231" s="15" t="n"/>
      <c r="C231" s="15" t="n"/>
      <c r="D231" s="15" t="n"/>
      <c r="E231" s="16" t="n"/>
      <c r="F231" s="16" t="n"/>
      <c r="G231" s="16" t="n"/>
      <c r="H231" s="17" t="n"/>
      <c r="I231" s="18" t="n"/>
      <c r="J231" s="18" t="n"/>
      <c r="K231" s="19" t="n"/>
      <c r="L231" s="20">
        <f>IF($B231="","",IFERROR(VLOOKUP($B231,'تنظیمات'!$A$4:$C$43,2,FALSE),1))</f>
        <v/>
      </c>
      <c r="M231" s="21">
        <f>IF($B231="","",IFERROR(VLOOKUP($B231,'تنظیمات'!$A$4:$C$43,3,FALSE),"USD"))</f>
        <v/>
      </c>
      <c r="N231" s="22">
        <f>IF(OR($E231="",$F231="",$H231="",$L231=""),"",ABS($E231-$F231)*$H231*IF($M231="BASE",$L231/$E231,$L231))</f>
        <v/>
      </c>
      <c r="O231" s="22">
        <f>IF($J231&lt;&gt;"",$J231,IF(OR($E231="",$G231="",$H231="",$L231=""),"",($G231-$E231)*IF($C231="فروش",-1,1)*$H231*IF($M231="BASE",$L231/$G231,$L231)))</f>
        <v/>
      </c>
      <c r="P231" s="22">
        <f>IF($O231="","",$O231-N($I231))</f>
        <v/>
      </c>
      <c r="Q231" s="23">
        <f>IF(OR($P231="",$N231="",$N231=0),"",$P231/$N231)</f>
        <v/>
      </c>
      <c r="R231" s="21">
        <f>IF($P231="","",IF($P231&gt;0,"برد",IF($P231&lt;0,"باخت","سر به سر")))</f>
        <v/>
      </c>
      <c r="S231" s="22">
        <f>IF($P231="","",SUM($P$5:$P231))</f>
        <v/>
      </c>
      <c r="T231" s="24">
        <f>IF($R231="باخت",N($T230)+1,0)</f>
        <v/>
      </c>
      <c r="U231" s="22">
        <f>IF($S231="","",$S231-MAX($S$5:$S231))</f>
        <v/>
      </c>
    </row>
    <row r="232">
      <c r="A232" s="14" t="n"/>
      <c r="B232" s="15" t="n"/>
      <c r="C232" s="15" t="n"/>
      <c r="D232" s="15" t="n"/>
      <c r="E232" s="16" t="n"/>
      <c r="F232" s="16" t="n"/>
      <c r="G232" s="16" t="n"/>
      <c r="H232" s="17" t="n"/>
      <c r="I232" s="18" t="n"/>
      <c r="J232" s="18" t="n"/>
      <c r="K232" s="19" t="n"/>
      <c r="L232" s="20">
        <f>IF($B232="","",IFERROR(VLOOKUP($B232,'تنظیمات'!$A$4:$C$43,2,FALSE),1))</f>
        <v/>
      </c>
      <c r="M232" s="21">
        <f>IF($B232="","",IFERROR(VLOOKUP($B232,'تنظیمات'!$A$4:$C$43,3,FALSE),"USD"))</f>
        <v/>
      </c>
      <c r="N232" s="22">
        <f>IF(OR($E232="",$F232="",$H232="",$L232=""),"",ABS($E232-$F232)*$H232*IF($M232="BASE",$L232/$E232,$L232))</f>
        <v/>
      </c>
      <c r="O232" s="22">
        <f>IF($J232&lt;&gt;"",$J232,IF(OR($E232="",$G232="",$H232="",$L232=""),"",($G232-$E232)*IF($C232="فروش",-1,1)*$H232*IF($M232="BASE",$L232/$G232,$L232)))</f>
        <v/>
      </c>
      <c r="P232" s="22">
        <f>IF($O232="","",$O232-N($I232))</f>
        <v/>
      </c>
      <c r="Q232" s="23">
        <f>IF(OR($P232="",$N232="",$N232=0),"",$P232/$N232)</f>
        <v/>
      </c>
      <c r="R232" s="21">
        <f>IF($P232="","",IF($P232&gt;0,"برد",IF($P232&lt;0,"باخت","سر به سر")))</f>
        <v/>
      </c>
      <c r="S232" s="22">
        <f>IF($P232="","",SUM($P$5:$P232))</f>
        <v/>
      </c>
      <c r="T232" s="24">
        <f>IF($R232="باخت",N($T231)+1,0)</f>
        <v/>
      </c>
      <c r="U232" s="22">
        <f>IF($S232="","",$S232-MAX($S$5:$S232))</f>
        <v/>
      </c>
    </row>
    <row r="233">
      <c r="A233" s="14" t="n"/>
      <c r="B233" s="15" t="n"/>
      <c r="C233" s="15" t="n"/>
      <c r="D233" s="15" t="n"/>
      <c r="E233" s="16" t="n"/>
      <c r="F233" s="16" t="n"/>
      <c r="G233" s="16" t="n"/>
      <c r="H233" s="17" t="n"/>
      <c r="I233" s="18" t="n"/>
      <c r="J233" s="18" t="n"/>
      <c r="K233" s="19" t="n"/>
      <c r="L233" s="20">
        <f>IF($B233="","",IFERROR(VLOOKUP($B233,'تنظیمات'!$A$4:$C$43,2,FALSE),1))</f>
        <v/>
      </c>
      <c r="M233" s="21">
        <f>IF($B233="","",IFERROR(VLOOKUP($B233,'تنظیمات'!$A$4:$C$43,3,FALSE),"USD"))</f>
        <v/>
      </c>
      <c r="N233" s="22">
        <f>IF(OR($E233="",$F233="",$H233="",$L233=""),"",ABS($E233-$F233)*$H233*IF($M233="BASE",$L233/$E233,$L233))</f>
        <v/>
      </c>
      <c r="O233" s="22">
        <f>IF($J233&lt;&gt;"",$J233,IF(OR($E233="",$G233="",$H233="",$L233=""),"",($G233-$E233)*IF($C233="فروش",-1,1)*$H233*IF($M233="BASE",$L233/$G233,$L233)))</f>
        <v/>
      </c>
      <c r="P233" s="22">
        <f>IF($O233="","",$O233-N($I233))</f>
        <v/>
      </c>
      <c r="Q233" s="23">
        <f>IF(OR($P233="",$N233="",$N233=0),"",$P233/$N233)</f>
        <v/>
      </c>
      <c r="R233" s="21">
        <f>IF($P233="","",IF($P233&gt;0,"برد",IF($P233&lt;0,"باخت","سر به سر")))</f>
        <v/>
      </c>
      <c r="S233" s="22">
        <f>IF($P233="","",SUM($P$5:$P233))</f>
        <v/>
      </c>
      <c r="T233" s="24">
        <f>IF($R233="باخت",N($T232)+1,0)</f>
        <v/>
      </c>
      <c r="U233" s="22">
        <f>IF($S233="","",$S233-MAX($S$5:$S233))</f>
        <v/>
      </c>
    </row>
    <row r="234">
      <c r="A234" s="14" t="n"/>
      <c r="B234" s="15" t="n"/>
      <c r="C234" s="15" t="n"/>
      <c r="D234" s="15" t="n"/>
      <c r="E234" s="16" t="n"/>
      <c r="F234" s="16" t="n"/>
      <c r="G234" s="16" t="n"/>
      <c r="H234" s="17" t="n"/>
      <c r="I234" s="18" t="n"/>
      <c r="J234" s="18" t="n"/>
      <c r="K234" s="19" t="n"/>
      <c r="L234" s="20">
        <f>IF($B234="","",IFERROR(VLOOKUP($B234,'تنظیمات'!$A$4:$C$43,2,FALSE),1))</f>
        <v/>
      </c>
      <c r="M234" s="21">
        <f>IF($B234="","",IFERROR(VLOOKUP($B234,'تنظیمات'!$A$4:$C$43,3,FALSE),"USD"))</f>
        <v/>
      </c>
      <c r="N234" s="22">
        <f>IF(OR($E234="",$F234="",$H234="",$L234=""),"",ABS($E234-$F234)*$H234*IF($M234="BASE",$L234/$E234,$L234))</f>
        <v/>
      </c>
      <c r="O234" s="22">
        <f>IF($J234&lt;&gt;"",$J234,IF(OR($E234="",$G234="",$H234="",$L234=""),"",($G234-$E234)*IF($C234="فروش",-1,1)*$H234*IF($M234="BASE",$L234/$G234,$L234)))</f>
        <v/>
      </c>
      <c r="P234" s="22">
        <f>IF($O234="","",$O234-N($I234))</f>
        <v/>
      </c>
      <c r="Q234" s="23">
        <f>IF(OR($P234="",$N234="",$N234=0),"",$P234/$N234)</f>
        <v/>
      </c>
      <c r="R234" s="21">
        <f>IF($P234="","",IF($P234&gt;0,"برد",IF($P234&lt;0,"باخت","سر به سر")))</f>
        <v/>
      </c>
      <c r="S234" s="22">
        <f>IF($P234="","",SUM($P$5:$P234))</f>
        <v/>
      </c>
      <c r="T234" s="24">
        <f>IF($R234="باخت",N($T233)+1,0)</f>
        <v/>
      </c>
      <c r="U234" s="22">
        <f>IF($S234="","",$S234-MAX($S$5:$S234))</f>
        <v/>
      </c>
    </row>
    <row r="235">
      <c r="A235" s="14" t="n"/>
      <c r="B235" s="15" t="n"/>
      <c r="C235" s="15" t="n"/>
      <c r="D235" s="15" t="n"/>
      <c r="E235" s="16" t="n"/>
      <c r="F235" s="16" t="n"/>
      <c r="G235" s="16" t="n"/>
      <c r="H235" s="17" t="n"/>
      <c r="I235" s="18" t="n"/>
      <c r="J235" s="18" t="n"/>
      <c r="K235" s="19" t="n"/>
      <c r="L235" s="20">
        <f>IF($B235="","",IFERROR(VLOOKUP($B235,'تنظیمات'!$A$4:$C$43,2,FALSE),1))</f>
        <v/>
      </c>
      <c r="M235" s="21">
        <f>IF($B235="","",IFERROR(VLOOKUP($B235,'تنظیمات'!$A$4:$C$43,3,FALSE),"USD"))</f>
        <v/>
      </c>
      <c r="N235" s="22">
        <f>IF(OR($E235="",$F235="",$H235="",$L235=""),"",ABS($E235-$F235)*$H235*IF($M235="BASE",$L235/$E235,$L235))</f>
        <v/>
      </c>
      <c r="O235" s="22">
        <f>IF($J235&lt;&gt;"",$J235,IF(OR($E235="",$G235="",$H235="",$L235=""),"",($G235-$E235)*IF($C235="فروش",-1,1)*$H235*IF($M235="BASE",$L235/$G235,$L235)))</f>
        <v/>
      </c>
      <c r="P235" s="22">
        <f>IF($O235="","",$O235-N($I235))</f>
        <v/>
      </c>
      <c r="Q235" s="23">
        <f>IF(OR($P235="",$N235="",$N235=0),"",$P235/$N235)</f>
        <v/>
      </c>
      <c r="R235" s="21">
        <f>IF($P235="","",IF($P235&gt;0,"برد",IF($P235&lt;0,"باخت","سر به سر")))</f>
        <v/>
      </c>
      <c r="S235" s="22">
        <f>IF($P235="","",SUM($P$5:$P235))</f>
        <v/>
      </c>
      <c r="T235" s="24">
        <f>IF($R235="باخت",N($T234)+1,0)</f>
        <v/>
      </c>
      <c r="U235" s="22">
        <f>IF($S235="","",$S235-MAX($S$5:$S235))</f>
        <v/>
      </c>
    </row>
    <row r="236">
      <c r="A236" s="14" t="n"/>
      <c r="B236" s="15" t="n"/>
      <c r="C236" s="15" t="n"/>
      <c r="D236" s="15" t="n"/>
      <c r="E236" s="16" t="n"/>
      <c r="F236" s="16" t="n"/>
      <c r="G236" s="16" t="n"/>
      <c r="H236" s="17" t="n"/>
      <c r="I236" s="18" t="n"/>
      <c r="J236" s="18" t="n"/>
      <c r="K236" s="19" t="n"/>
      <c r="L236" s="20">
        <f>IF($B236="","",IFERROR(VLOOKUP($B236,'تنظیمات'!$A$4:$C$43,2,FALSE),1))</f>
        <v/>
      </c>
      <c r="M236" s="21">
        <f>IF($B236="","",IFERROR(VLOOKUP($B236,'تنظیمات'!$A$4:$C$43,3,FALSE),"USD"))</f>
        <v/>
      </c>
      <c r="N236" s="22">
        <f>IF(OR($E236="",$F236="",$H236="",$L236=""),"",ABS($E236-$F236)*$H236*IF($M236="BASE",$L236/$E236,$L236))</f>
        <v/>
      </c>
      <c r="O236" s="22">
        <f>IF($J236&lt;&gt;"",$J236,IF(OR($E236="",$G236="",$H236="",$L236=""),"",($G236-$E236)*IF($C236="فروش",-1,1)*$H236*IF($M236="BASE",$L236/$G236,$L236)))</f>
        <v/>
      </c>
      <c r="P236" s="22">
        <f>IF($O236="","",$O236-N($I236))</f>
        <v/>
      </c>
      <c r="Q236" s="23">
        <f>IF(OR($P236="",$N236="",$N236=0),"",$P236/$N236)</f>
        <v/>
      </c>
      <c r="R236" s="21">
        <f>IF($P236="","",IF($P236&gt;0,"برد",IF($P236&lt;0,"باخت","سر به سر")))</f>
        <v/>
      </c>
      <c r="S236" s="22">
        <f>IF($P236="","",SUM($P$5:$P236))</f>
        <v/>
      </c>
      <c r="T236" s="24">
        <f>IF($R236="باخت",N($T235)+1,0)</f>
        <v/>
      </c>
      <c r="U236" s="22">
        <f>IF($S236="","",$S236-MAX($S$5:$S236))</f>
        <v/>
      </c>
    </row>
    <row r="237">
      <c r="A237" s="14" t="n"/>
      <c r="B237" s="15" t="n"/>
      <c r="C237" s="15" t="n"/>
      <c r="D237" s="15" t="n"/>
      <c r="E237" s="16" t="n"/>
      <c r="F237" s="16" t="n"/>
      <c r="G237" s="16" t="n"/>
      <c r="H237" s="17" t="n"/>
      <c r="I237" s="18" t="n"/>
      <c r="J237" s="18" t="n"/>
      <c r="K237" s="19" t="n"/>
      <c r="L237" s="20">
        <f>IF($B237="","",IFERROR(VLOOKUP($B237,'تنظیمات'!$A$4:$C$43,2,FALSE),1))</f>
        <v/>
      </c>
      <c r="M237" s="21">
        <f>IF($B237="","",IFERROR(VLOOKUP($B237,'تنظیمات'!$A$4:$C$43,3,FALSE),"USD"))</f>
        <v/>
      </c>
      <c r="N237" s="22">
        <f>IF(OR($E237="",$F237="",$H237="",$L237=""),"",ABS($E237-$F237)*$H237*IF($M237="BASE",$L237/$E237,$L237))</f>
        <v/>
      </c>
      <c r="O237" s="22">
        <f>IF($J237&lt;&gt;"",$J237,IF(OR($E237="",$G237="",$H237="",$L237=""),"",($G237-$E237)*IF($C237="فروش",-1,1)*$H237*IF($M237="BASE",$L237/$G237,$L237)))</f>
        <v/>
      </c>
      <c r="P237" s="22">
        <f>IF($O237="","",$O237-N($I237))</f>
        <v/>
      </c>
      <c r="Q237" s="23">
        <f>IF(OR($P237="",$N237="",$N237=0),"",$P237/$N237)</f>
        <v/>
      </c>
      <c r="R237" s="21">
        <f>IF($P237="","",IF($P237&gt;0,"برد",IF($P237&lt;0,"باخت","سر به سر")))</f>
        <v/>
      </c>
      <c r="S237" s="22">
        <f>IF($P237="","",SUM($P$5:$P237))</f>
        <v/>
      </c>
      <c r="T237" s="24">
        <f>IF($R237="باخت",N($T236)+1,0)</f>
        <v/>
      </c>
      <c r="U237" s="22">
        <f>IF($S237="","",$S237-MAX($S$5:$S237))</f>
        <v/>
      </c>
    </row>
    <row r="238">
      <c r="A238" s="14" t="n"/>
      <c r="B238" s="15" t="n"/>
      <c r="C238" s="15" t="n"/>
      <c r="D238" s="15" t="n"/>
      <c r="E238" s="16" t="n"/>
      <c r="F238" s="16" t="n"/>
      <c r="G238" s="16" t="n"/>
      <c r="H238" s="17" t="n"/>
      <c r="I238" s="18" t="n"/>
      <c r="J238" s="18" t="n"/>
      <c r="K238" s="19" t="n"/>
      <c r="L238" s="20">
        <f>IF($B238="","",IFERROR(VLOOKUP($B238,'تنظیمات'!$A$4:$C$43,2,FALSE),1))</f>
        <v/>
      </c>
      <c r="M238" s="21">
        <f>IF($B238="","",IFERROR(VLOOKUP($B238,'تنظیمات'!$A$4:$C$43,3,FALSE),"USD"))</f>
        <v/>
      </c>
      <c r="N238" s="22">
        <f>IF(OR($E238="",$F238="",$H238="",$L238=""),"",ABS($E238-$F238)*$H238*IF($M238="BASE",$L238/$E238,$L238))</f>
        <v/>
      </c>
      <c r="O238" s="22">
        <f>IF($J238&lt;&gt;"",$J238,IF(OR($E238="",$G238="",$H238="",$L238=""),"",($G238-$E238)*IF($C238="فروش",-1,1)*$H238*IF($M238="BASE",$L238/$G238,$L238)))</f>
        <v/>
      </c>
      <c r="P238" s="22">
        <f>IF($O238="","",$O238-N($I238))</f>
        <v/>
      </c>
      <c r="Q238" s="23">
        <f>IF(OR($P238="",$N238="",$N238=0),"",$P238/$N238)</f>
        <v/>
      </c>
      <c r="R238" s="21">
        <f>IF($P238="","",IF($P238&gt;0,"برد",IF($P238&lt;0,"باخت","سر به سر")))</f>
        <v/>
      </c>
      <c r="S238" s="22">
        <f>IF($P238="","",SUM($P$5:$P238))</f>
        <v/>
      </c>
      <c r="T238" s="24">
        <f>IF($R238="باخت",N($T237)+1,0)</f>
        <v/>
      </c>
      <c r="U238" s="22">
        <f>IF($S238="","",$S238-MAX($S$5:$S238))</f>
        <v/>
      </c>
    </row>
    <row r="239">
      <c r="A239" s="14" t="n"/>
      <c r="B239" s="15" t="n"/>
      <c r="C239" s="15" t="n"/>
      <c r="D239" s="15" t="n"/>
      <c r="E239" s="16" t="n"/>
      <c r="F239" s="16" t="n"/>
      <c r="G239" s="16" t="n"/>
      <c r="H239" s="17" t="n"/>
      <c r="I239" s="18" t="n"/>
      <c r="J239" s="18" t="n"/>
      <c r="K239" s="19" t="n"/>
      <c r="L239" s="20">
        <f>IF($B239="","",IFERROR(VLOOKUP($B239,'تنظیمات'!$A$4:$C$43,2,FALSE),1))</f>
        <v/>
      </c>
      <c r="M239" s="21">
        <f>IF($B239="","",IFERROR(VLOOKUP($B239,'تنظیمات'!$A$4:$C$43,3,FALSE),"USD"))</f>
        <v/>
      </c>
      <c r="N239" s="22">
        <f>IF(OR($E239="",$F239="",$H239="",$L239=""),"",ABS($E239-$F239)*$H239*IF($M239="BASE",$L239/$E239,$L239))</f>
        <v/>
      </c>
      <c r="O239" s="22">
        <f>IF($J239&lt;&gt;"",$J239,IF(OR($E239="",$G239="",$H239="",$L239=""),"",($G239-$E239)*IF($C239="فروش",-1,1)*$H239*IF($M239="BASE",$L239/$G239,$L239)))</f>
        <v/>
      </c>
      <c r="P239" s="22">
        <f>IF($O239="","",$O239-N($I239))</f>
        <v/>
      </c>
      <c r="Q239" s="23">
        <f>IF(OR($P239="",$N239="",$N239=0),"",$P239/$N239)</f>
        <v/>
      </c>
      <c r="R239" s="21">
        <f>IF($P239="","",IF($P239&gt;0,"برد",IF($P239&lt;0,"باخت","سر به سر")))</f>
        <v/>
      </c>
      <c r="S239" s="22">
        <f>IF($P239="","",SUM($P$5:$P239))</f>
        <v/>
      </c>
      <c r="T239" s="24">
        <f>IF($R239="باخت",N($T238)+1,0)</f>
        <v/>
      </c>
      <c r="U239" s="22">
        <f>IF($S239="","",$S239-MAX($S$5:$S239))</f>
        <v/>
      </c>
    </row>
    <row r="240">
      <c r="A240" s="14" t="n"/>
      <c r="B240" s="15" t="n"/>
      <c r="C240" s="15" t="n"/>
      <c r="D240" s="15" t="n"/>
      <c r="E240" s="16" t="n"/>
      <c r="F240" s="16" t="n"/>
      <c r="G240" s="16" t="n"/>
      <c r="H240" s="17" t="n"/>
      <c r="I240" s="18" t="n"/>
      <c r="J240" s="18" t="n"/>
      <c r="K240" s="19" t="n"/>
      <c r="L240" s="20">
        <f>IF($B240="","",IFERROR(VLOOKUP($B240,'تنظیمات'!$A$4:$C$43,2,FALSE),1))</f>
        <v/>
      </c>
      <c r="M240" s="21">
        <f>IF($B240="","",IFERROR(VLOOKUP($B240,'تنظیمات'!$A$4:$C$43,3,FALSE),"USD"))</f>
        <v/>
      </c>
      <c r="N240" s="22">
        <f>IF(OR($E240="",$F240="",$H240="",$L240=""),"",ABS($E240-$F240)*$H240*IF($M240="BASE",$L240/$E240,$L240))</f>
        <v/>
      </c>
      <c r="O240" s="22">
        <f>IF($J240&lt;&gt;"",$J240,IF(OR($E240="",$G240="",$H240="",$L240=""),"",($G240-$E240)*IF($C240="فروش",-1,1)*$H240*IF($M240="BASE",$L240/$G240,$L240)))</f>
        <v/>
      </c>
      <c r="P240" s="22">
        <f>IF($O240="","",$O240-N($I240))</f>
        <v/>
      </c>
      <c r="Q240" s="23">
        <f>IF(OR($P240="",$N240="",$N240=0),"",$P240/$N240)</f>
        <v/>
      </c>
      <c r="R240" s="21">
        <f>IF($P240="","",IF($P240&gt;0,"برد",IF($P240&lt;0,"باخت","سر به سر")))</f>
        <v/>
      </c>
      <c r="S240" s="22">
        <f>IF($P240="","",SUM($P$5:$P240))</f>
        <v/>
      </c>
      <c r="T240" s="24">
        <f>IF($R240="باخت",N($T239)+1,0)</f>
        <v/>
      </c>
      <c r="U240" s="22">
        <f>IF($S240="","",$S240-MAX($S$5:$S240))</f>
        <v/>
      </c>
    </row>
    <row r="241">
      <c r="A241" s="14" t="n"/>
      <c r="B241" s="15" t="n"/>
      <c r="C241" s="15" t="n"/>
      <c r="D241" s="15" t="n"/>
      <c r="E241" s="16" t="n"/>
      <c r="F241" s="16" t="n"/>
      <c r="G241" s="16" t="n"/>
      <c r="H241" s="17" t="n"/>
      <c r="I241" s="18" t="n"/>
      <c r="J241" s="18" t="n"/>
      <c r="K241" s="19" t="n"/>
      <c r="L241" s="20">
        <f>IF($B241="","",IFERROR(VLOOKUP($B241,'تنظیمات'!$A$4:$C$43,2,FALSE),1))</f>
        <v/>
      </c>
      <c r="M241" s="21">
        <f>IF($B241="","",IFERROR(VLOOKUP($B241,'تنظیمات'!$A$4:$C$43,3,FALSE),"USD"))</f>
        <v/>
      </c>
      <c r="N241" s="22">
        <f>IF(OR($E241="",$F241="",$H241="",$L241=""),"",ABS($E241-$F241)*$H241*IF($M241="BASE",$L241/$E241,$L241))</f>
        <v/>
      </c>
      <c r="O241" s="22">
        <f>IF($J241&lt;&gt;"",$J241,IF(OR($E241="",$G241="",$H241="",$L241=""),"",($G241-$E241)*IF($C241="فروش",-1,1)*$H241*IF($M241="BASE",$L241/$G241,$L241)))</f>
        <v/>
      </c>
      <c r="P241" s="22">
        <f>IF($O241="","",$O241-N($I241))</f>
        <v/>
      </c>
      <c r="Q241" s="23">
        <f>IF(OR($P241="",$N241="",$N241=0),"",$P241/$N241)</f>
        <v/>
      </c>
      <c r="R241" s="21">
        <f>IF($P241="","",IF($P241&gt;0,"برد",IF($P241&lt;0,"باخت","سر به سر")))</f>
        <v/>
      </c>
      <c r="S241" s="22">
        <f>IF($P241="","",SUM($P$5:$P241))</f>
        <v/>
      </c>
      <c r="T241" s="24">
        <f>IF($R241="باخت",N($T240)+1,0)</f>
        <v/>
      </c>
      <c r="U241" s="22">
        <f>IF($S241="","",$S241-MAX($S$5:$S241))</f>
        <v/>
      </c>
    </row>
    <row r="242">
      <c r="A242" s="14" t="n"/>
      <c r="B242" s="15" t="n"/>
      <c r="C242" s="15" t="n"/>
      <c r="D242" s="15" t="n"/>
      <c r="E242" s="16" t="n"/>
      <c r="F242" s="16" t="n"/>
      <c r="G242" s="16" t="n"/>
      <c r="H242" s="17" t="n"/>
      <c r="I242" s="18" t="n"/>
      <c r="J242" s="18" t="n"/>
      <c r="K242" s="19" t="n"/>
      <c r="L242" s="20">
        <f>IF($B242="","",IFERROR(VLOOKUP($B242,'تنظیمات'!$A$4:$C$43,2,FALSE),1))</f>
        <v/>
      </c>
      <c r="M242" s="21">
        <f>IF($B242="","",IFERROR(VLOOKUP($B242,'تنظیمات'!$A$4:$C$43,3,FALSE),"USD"))</f>
        <v/>
      </c>
      <c r="N242" s="22">
        <f>IF(OR($E242="",$F242="",$H242="",$L242=""),"",ABS($E242-$F242)*$H242*IF($M242="BASE",$L242/$E242,$L242))</f>
        <v/>
      </c>
      <c r="O242" s="22">
        <f>IF($J242&lt;&gt;"",$J242,IF(OR($E242="",$G242="",$H242="",$L242=""),"",($G242-$E242)*IF($C242="فروش",-1,1)*$H242*IF($M242="BASE",$L242/$G242,$L242)))</f>
        <v/>
      </c>
      <c r="P242" s="22">
        <f>IF($O242="","",$O242-N($I242))</f>
        <v/>
      </c>
      <c r="Q242" s="23">
        <f>IF(OR($P242="",$N242="",$N242=0),"",$P242/$N242)</f>
        <v/>
      </c>
      <c r="R242" s="21">
        <f>IF($P242="","",IF($P242&gt;0,"برد",IF($P242&lt;0,"باخت","سر به سر")))</f>
        <v/>
      </c>
      <c r="S242" s="22">
        <f>IF($P242="","",SUM($P$5:$P242))</f>
        <v/>
      </c>
      <c r="T242" s="24">
        <f>IF($R242="باخت",N($T241)+1,0)</f>
        <v/>
      </c>
      <c r="U242" s="22">
        <f>IF($S242="","",$S242-MAX($S$5:$S242))</f>
        <v/>
      </c>
    </row>
    <row r="243">
      <c r="A243" s="14" t="n"/>
      <c r="B243" s="15" t="n"/>
      <c r="C243" s="15" t="n"/>
      <c r="D243" s="15" t="n"/>
      <c r="E243" s="16" t="n"/>
      <c r="F243" s="16" t="n"/>
      <c r="G243" s="16" t="n"/>
      <c r="H243" s="17" t="n"/>
      <c r="I243" s="18" t="n"/>
      <c r="J243" s="18" t="n"/>
      <c r="K243" s="19" t="n"/>
      <c r="L243" s="20">
        <f>IF($B243="","",IFERROR(VLOOKUP($B243,'تنظیمات'!$A$4:$C$43,2,FALSE),1))</f>
        <v/>
      </c>
      <c r="M243" s="21">
        <f>IF($B243="","",IFERROR(VLOOKUP($B243,'تنظیمات'!$A$4:$C$43,3,FALSE),"USD"))</f>
        <v/>
      </c>
      <c r="N243" s="22">
        <f>IF(OR($E243="",$F243="",$H243="",$L243=""),"",ABS($E243-$F243)*$H243*IF($M243="BASE",$L243/$E243,$L243))</f>
        <v/>
      </c>
      <c r="O243" s="22">
        <f>IF($J243&lt;&gt;"",$J243,IF(OR($E243="",$G243="",$H243="",$L243=""),"",($G243-$E243)*IF($C243="فروش",-1,1)*$H243*IF($M243="BASE",$L243/$G243,$L243)))</f>
        <v/>
      </c>
      <c r="P243" s="22">
        <f>IF($O243="","",$O243-N($I243))</f>
        <v/>
      </c>
      <c r="Q243" s="23">
        <f>IF(OR($P243="",$N243="",$N243=0),"",$P243/$N243)</f>
        <v/>
      </c>
      <c r="R243" s="21">
        <f>IF($P243="","",IF($P243&gt;0,"برد",IF($P243&lt;0,"باخت","سر به سر")))</f>
        <v/>
      </c>
      <c r="S243" s="22">
        <f>IF($P243="","",SUM($P$5:$P243))</f>
        <v/>
      </c>
      <c r="T243" s="24">
        <f>IF($R243="باخت",N($T242)+1,0)</f>
        <v/>
      </c>
      <c r="U243" s="22">
        <f>IF($S243="","",$S243-MAX($S$5:$S243))</f>
        <v/>
      </c>
    </row>
    <row r="244">
      <c r="A244" s="14" t="n"/>
      <c r="B244" s="15" t="n"/>
      <c r="C244" s="15" t="n"/>
      <c r="D244" s="15" t="n"/>
      <c r="E244" s="16" t="n"/>
      <c r="F244" s="16" t="n"/>
      <c r="G244" s="16" t="n"/>
      <c r="H244" s="17" t="n"/>
      <c r="I244" s="18" t="n"/>
      <c r="J244" s="18" t="n"/>
      <c r="K244" s="19" t="n"/>
      <c r="L244" s="20">
        <f>IF($B244="","",IFERROR(VLOOKUP($B244,'تنظیمات'!$A$4:$C$43,2,FALSE),1))</f>
        <v/>
      </c>
      <c r="M244" s="21">
        <f>IF($B244="","",IFERROR(VLOOKUP($B244,'تنظیمات'!$A$4:$C$43,3,FALSE),"USD"))</f>
        <v/>
      </c>
      <c r="N244" s="22">
        <f>IF(OR($E244="",$F244="",$H244="",$L244=""),"",ABS($E244-$F244)*$H244*IF($M244="BASE",$L244/$E244,$L244))</f>
        <v/>
      </c>
      <c r="O244" s="22">
        <f>IF($J244&lt;&gt;"",$J244,IF(OR($E244="",$G244="",$H244="",$L244=""),"",($G244-$E244)*IF($C244="فروش",-1,1)*$H244*IF($M244="BASE",$L244/$G244,$L244)))</f>
        <v/>
      </c>
      <c r="P244" s="22">
        <f>IF($O244="","",$O244-N($I244))</f>
        <v/>
      </c>
      <c r="Q244" s="23">
        <f>IF(OR($P244="",$N244="",$N244=0),"",$P244/$N244)</f>
        <v/>
      </c>
      <c r="R244" s="21">
        <f>IF($P244="","",IF($P244&gt;0,"برد",IF($P244&lt;0,"باخت","سر به سر")))</f>
        <v/>
      </c>
      <c r="S244" s="22">
        <f>IF($P244="","",SUM($P$5:$P244))</f>
        <v/>
      </c>
      <c r="T244" s="24">
        <f>IF($R244="باخت",N($T243)+1,0)</f>
        <v/>
      </c>
      <c r="U244" s="22">
        <f>IF($S244="","",$S244-MAX($S$5:$S244))</f>
        <v/>
      </c>
    </row>
    <row r="245">
      <c r="A245" s="14" t="n"/>
      <c r="B245" s="15" t="n"/>
      <c r="C245" s="15" t="n"/>
      <c r="D245" s="15" t="n"/>
      <c r="E245" s="16" t="n"/>
      <c r="F245" s="16" t="n"/>
      <c r="G245" s="16" t="n"/>
      <c r="H245" s="17" t="n"/>
      <c r="I245" s="18" t="n"/>
      <c r="J245" s="18" t="n"/>
      <c r="K245" s="19" t="n"/>
      <c r="L245" s="20">
        <f>IF($B245="","",IFERROR(VLOOKUP($B245,'تنظیمات'!$A$4:$C$43,2,FALSE),1))</f>
        <v/>
      </c>
      <c r="M245" s="21">
        <f>IF($B245="","",IFERROR(VLOOKUP($B245,'تنظیمات'!$A$4:$C$43,3,FALSE),"USD"))</f>
        <v/>
      </c>
      <c r="N245" s="22">
        <f>IF(OR($E245="",$F245="",$H245="",$L245=""),"",ABS($E245-$F245)*$H245*IF($M245="BASE",$L245/$E245,$L245))</f>
        <v/>
      </c>
      <c r="O245" s="22">
        <f>IF($J245&lt;&gt;"",$J245,IF(OR($E245="",$G245="",$H245="",$L245=""),"",($G245-$E245)*IF($C245="فروش",-1,1)*$H245*IF($M245="BASE",$L245/$G245,$L245)))</f>
        <v/>
      </c>
      <c r="P245" s="22">
        <f>IF($O245="","",$O245-N($I245))</f>
        <v/>
      </c>
      <c r="Q245" s="23">
        <f>IF(OR($P245="",$N245="",$N245=0),"",$P245/$N245)</f>
        <v/>
      </c>
      <c r="R245" s="21">
        <f>IF($P245="","",IF($P245&gt;0,"برد",IF($P245&lt;0,"باخت","سر به سر")))</f>
        <v/>
      </c>
      <c r="S245" s="22">
        <f>IF($P245="","",SUM($P$5:$P245))</f>
        <v/>
      </c>
      <c r="T245" s="24">
        <f>IF($R245="باخت",N($T244)+1,0)</f>
        <v/>
      </c>
      <c r="U245" s="22">
        <f>IF($S245="","",$S245-MAX($S$5:$S245))</f>
        <v/>
      </c>
    </row>
    <row r="246">
      <c r="A246" s="14" t="n"/>
      <c r="B246" s="15" t="n"/>
      <c r="C246" s="15" t="n"/>
      <c r="D246" s="15" t="n"/>
      <c r="E246" s="16" t="n"/>
      <c r="F246" s="16" t="n"/>
      <c r="G246" s="16" t="n"/>
      <c r="H246" s="17" t="n"/>
      <c r="I246" s="18" t="n"/>
      <c r="J246" s="18" t="n"/>
      <c r="K246" s="19" t="n"/>
      <c r="L246" s="20">
        <f>IF($B246="","",IFERROR(VLOOKUP($B246,'تنظیمات'!$A$4:$C$43,2,FALSE),1))</f>
        <v/>
      </c>
      <c r="M246" s="21">
        <f>IF($B246="","",IFERROR(VLOOKUP($B246,'تنظیمات'!$A$4:$C$43,3,FALSE),"USD"))</f>
        <v/>
      </c>
      <c r="N246" s="22">
        <f>IF(OR($E246="",$F246="",$H246="",$L246=""),"",ABS($E246-$F246)*$H246*IF($M246="BASE",$L246/$E246,$L246))</f>
        <v/>
      </c>
      <c r="O246" s="22">
        <f>IF($J246&lt;&gt;"",$J246,IF(OR($E246="",$G246="",$H246="",$L246=""),"",($G246-$E246)*IF($C246="فروش",-1,1)*$H246*IF($M246="BASE",$L246/$G246,$L246)))</f>
        <v/>
      </c>
      <c r="P246" s="22">
        <f>IF($O246="","",$O246-N($I246))</f>
        <v/>
      </c>
      <c r="Q246" s="23">
        <f>IF(OR($P246="",$N246="",$N246=0),"",$P246/$N246)</f>
        <v/>
      </c>
      <c r="R246" s="21">
        <f>IF($P246="","",IF($P246&gt;0,"برد",IF($P246&lt;0,"باخت","سر به سر")))</f>
        <v/>
      </c>
      <c r="S246" s="22">
        <f>IF($P246="","",SUM($P$5:$P246))</f>
        <v/>
      </c>
      <c r="T246" s="24">
        <f>IF($R246="باخت",N($T245)+1,0)</f>
        <v/>
      </c>
      <c r="U246" s="22">
        <f>IF($S246="","",$S246-MAX($S$5:$S246))</f>
        <v/>
      </c>
    </row>
    <row r="247">
      <c r="A247" s="14" t="n"/>
      <c r="B247" s="15" t="n"/>
      <c r="C247" s="15" t="n"/>
      <c r="D247" s="15" t="n"/>
      <c r="E247" s="16" t="n"/>
      <c r="F247" s="16" t="n"/>
      <c r="G247" s="16" t="n"/>
      <c r="H247" s="17" t="n"/>
      <c r="I247" s="18" t="n"/>
      <c r="J247" s="18" t="n"/>
      <c r="K247" s="19" t="n"/>
      <c r="L247" s="20">
        <f>IF($B247="","",IFERROR(VLOOKUP($B247,'تنظیمات'!$A$4:$C$43,2,FALSE),1))</f>
        <v/>
      </c>
      <c r="M247" s="21">
        <f>IF($B247="","",IFERROR(VLOOKUP($B247,'تنظیمات'!$A$4:$C$43,3,FALSE),"USD"))</f>
        <v/>
      </c>
      <c r="N247" s="22">
        <f>IF(OR($E247="",$F247="",$H247="",$L247=""),"",ABS($E247-$F247)*$H247*IF($M247="BASE",$L247/$E247,$L247))</f>
        <v/>
      </c>
      <c r="O247" s="22">
        <f>IF($J247&lt;&gt;"",$J247,IF(OR($E247="",$G247="",$H247="",$L247=""),"",($G247-$E247)*IF($C247="فروش",-1,1)*$H247*IF($M247="BASE",$L247/$G247,$L247)))</f>
        <v/>
      </c>
      <c r="P247" s="22">
        <f>IF($O247="","",$O247-N($I247))</f>
        <v/>
      </c>
      <c r="Q247" s="23">
        <f>IF(OR($P247="",$N247="",$N247=0),"",$P247/$N247)</f>
        <v/>
      </c>
      <c r="R247" s="21">
        <f>IF($P247="","",IF($P247&gt;0,"برد",IF($P247&lt;0,"باخت","سر به سر")))</f>
        <v/>
      </c>
      <c r="S247" s="22">
        <f>IF($P247="","",SUM($P$5:$P247))</f>
        <v/>
      </c>
      <c r="T247" s="24">
        <f>IF($R247="باخت",N($T246)+1,0)</f>
        <v/>
      </c>
      <c r="U247" s="22">
        <f>IF($S247="","",$S247-MAX($S$5:$S247))</f>
        <v/>
      </c>
    </row>
    <row r="248">
      <c r="A248" s="14" t="n"/>
      <c r="B248" s="15" t="n"/>
      <c r="C248" s="15" t="n"/>
      <c r="D248" s="15" t="n"/>
      <c r="E248" s="16" t="n"/>
      <c r="F248" s="16" t="n"/>
      <c r="G248" s="16" t="n"/>
      <c r="H248" s="17" t="n"/>
      <c r="I248" s="18" t="n"/>
      <c r="J248" s="18" t="n"/>
      <c r="K248" s="19" t="n"/>
      <c r="L248" s="20">
        <f>IF($B248="","",IFERROR(VLOOKUP($B248,'تنظیمات'!$A$4:$C$43,2,FALSE),1))</f>
        <v/>
      </c>
      <c r="M248" s="21">
        <f>IF($B248="","",IFERROR(VLOOKUP($B248,'تنظیمات'!$A$4:$C$43,3,FALSE),"USD"))</f>
        <v/>
      </c>
      <c r="N248" s="22">
        <f>IF(OR($E248="",$F248="",$H248="",$L248=""),"",ABS($E248-$F248)*$H248*IF($M248="BASE",$L248/$E248,$L248))</f>
        <v/>
      </c>
      <c r="O248" s="22">
        <f>IF($J248&lt;&gt;"",$J248,IF(OR($E248="",$G248="",$H248="",$L248=""),"",($G248-$E248)*IF($C248="فروش",-1,1)*$H248*IF($M248="BASE",$L248/$G248,$L248)))</f>
        <v/>
      </c>
      <c r="P248" s="22">
        <f>IF($O248="","",$O248-N($I248))</f>
        <v/>
      </c>
      <c r="Q248" s="23">
        <f>IF(OR($P248="",$N248="",$N248=0),"",$P248/$N248)</f>
        <v/>
      </c>
      <c r="R248" s="21">
        <f>IF($P248="","",IF($P248&gt;0,"برد",IF($P248&lt;0,"باخت","سر به سر")))</f>
        <v/>
      </c>
      <c r="S248" s="22">
        <f>IF($P248="","",SUM($P$5:$P248))</f>
        <v/>
      </c>
      <c r="T248" s="24">
        <f>IF($R248="باخت",N($T247)+1,0)</f>
        <v/>
      </c>
      <c r="U248" s="22">
        <f>IF($S248="","",$S248-MAX($S$5:$S248))</f>
        <v/>
      </c>
    </row>
    <row r="249">
      <c r="A249" s="14" t="n"/>
      <c r="B249" s="15" t="n"/>
      <c r="C249" s="15" t="n"/>
      <c r="D249" s="15" t="n"/>
      <c r="E249" s="16" t="n"/>
      <c r="F249" s="16" t="n"/>
      <c r="G249" s="16" t="n"/>
      <c r="H249" s="17" t="n"/>
      <c r="I249" s="18" t="n"/>
      <c r="J249" s="18" t="n"/>
      <c r="K249" s="19" t="n"/>
      <c r="L249" s="20">
        <f>IF($B249="","",IFERROR(VLOOKUP($B249,'تنظیمات'!$A$4:$C$43,2,FALSE),1))</f>
        <v/>
      </c>
      <c r="M249" s="21">
        <f>IF($B249="","",IFERROR(VLOOKUP($B249,'تنظیمات'!$A$4:$C$43,3,FALSE),"USD"))</f>
        <v/>
      </c>
      <c r="N249" s="22">
        <f>IF(OR($E249="",$F249="",$H249="",$L249=""),"",ABS($E249-$F249)*$H249*IF($M249="BASE",$L249/$E249,$L249))</f>
        <v/>
      </c>
      <c r="O249" s="22">
        <f>IF($J249&lt;&gt;"",$J249,IF(OR($E249="",$G249="",$H249="",$L249=""),"",($G249-$E249)*IF($C249="فروش",-1,1)*$H249*IF($M249="BASE",$L249/$G249,$L249)))</f>
        <v/>
      </c>
      <c r="P249" s="22">
        <f>IF($O249="","",$O249-N($I249))</f>
        <v/>
      </c>
      <c r="Q249" s="23">
        <f>IF(OR($P249="",$N249="",$N249=0),"",$P249/$N249)</f>
        <v/>
      </c>
      <c r="R249" s="21">
        <f>IF($P249="","",IF($P249&gt;0,"برد",IF($P249&lt;0,"باخت","سر به سر")))</f>
        <v/>
      </c>
      <c r="S249" s="22">
        <f>IF($P249="","",SUM($P$5:$P249))</f>
        <v/>
      </c>
      <c r="T249" s="24">
        <f>IF($R249="باخت",N($T248)+1,0)</f>
        <v/>
      </c>
      <c r="U249" s="22">
        <f>IF($S249="","",$S249-MAX($S$5:$S249))</f>
        <v/>
      </c>
    </row>
    <row r="250">
      <c r="A250" s="14" t="n"/>
      <c r="B250" s="15" t="n"/>
      <c r="C250" s="15" t="n"/>
      <c r="D250" s="15" t="n"/>
      <c r="E250" s="16" t="n"/>
      <c r="F250" s="16" t="n"/>
      <c r="G250" s="16" t="n"/>
      <c r="H250" s="17" t="n"/>
      <c r="I250" s="18" t="n"/>
      <c r="J250" s="18" t="n"/>
      <c r="K250" s="19" t="n"/>
      <c r="L250" s="20">
        <f>IF($B250="","",IFERROR(VLOOKUP($B250,'تنظیمات'!$A$4:$C$43,2,FALSE),1))</f>
        <v/>
      </c>
      <c r="M250" s="21">
        <f>IF($B250="","",IFERROR(VLOOKUP($B250,'تنظیمات'!$A$4:$C$43,3,FALSE),"USD"))</f>
        <v/>
      </c>
      <c r="N250" s="22">
        <f>IF(OR($E250="",$F250="",$H250="",$L250=""),"",ABS($E250-$F250)*$H250*IF($M250="BASE",$L250/$E250,$L250))</f>
        <v/>
      </c>
      <c r="O250" s="22">
        <f>IF($J250&lt;&gt;"",$J250,IF(OR($E250="",$G250="",$H250="",$L250=""),"",($G250-$E250)*IF($C250="فروش",-1,1)*$H250*IF($M250="BASE",$L250/$G250,$L250)))</f>
        <v/>
      </c>
      <c r="P250" s="22">
        <f>IF($O250="","",$O250-N($I250))</f>
        <v/>
      </c>
      <c r="Q250" s="23">
        <f>IF(OR($P250="",$N250="",$N250=0),"",$P250/$N250)</f>
        <v/>
      </c>
      <c r="R250" s="21">
        <f>IF($P250="","",IF($P250&gt;0,"برد",IF($P250&lt;0,"باخت","سر به سر")))</f>
        <v/>
      </c>
      <c r="S250" s="22">
        <f>IF($P250="","",SUM($P$5:$P250))</f>
        <v/>
      </c>
      <c r="T250" s="24">
        <f>IF($R250="باخت",N($T249)+1,0)</f>
        <v/>
      </c>
      <c r="U250" s="22">
        <f>IF($S250="","",$S250-MAX($S$5:$S250))</f>
        <v/>
      </c>
    </row>
    <row r="251">
      <c r="A251" s="14" t="n"/>
      <c r="B251" s="15" t="n"/>
      <c r="C251" s="15" t="n"/>
      <c r="D251" s="15" t="n"/>
      <c r="E251" s="16" t="n"/>
      <c r="F251" s="16" t="n"/>
      <c r="G251" s="16" t="n"/>
      <c r="H251" s="17" t="n"/>
      <c r="I251" s="18" t="n"/>
      <c r="J251" s="18" t="n"/>
      <c r="K251" s="19" t="n"/>
      <c r="L251" s="20">
        <f>IF($B251="","",IFERROR(VLOOKUP($B251,'تنظیمات'!$A$4:$C$43,2,FALSE),1))</f>
        <v/>
      </c>
      <c r="M251" s="21">
        <f>IF($B251="","",IFERROR(VLOOKUP($B251,'تنظیمات'!$A$4:$C$43,3,FALSE),"USD"))</f>
        <v/>
      </c>
      <c r="N251" s="22">
        <f>IF(OR($E251="",$F251="",$H251="",$L251=""),"",ABS($E251-$F251)*$H251*IF($M251="BASE",$L251/$E251,$L251))</f>
        <v/>
      </c>
      <c r="O251" s="22">
        <f>IF($J251&lt;&gt;"",$J251,IF(OR($E251="",$G251="",$H251="",$L251=""),"",($G251-$E251)*IF($C251="فروش",-1,1)*$H251*IF($M251="BASE",$L251/$G251,$L251)))</f>
        <v/>
      </c>
      <c r="P251" s="22">
        <f>IF($O251="","",$O251-N($I251))</f>
        <v/>
      </c>
      <c r="Q251" s="23">
        <f>IF(OR($P251="",$N251="",$N251=0),"",$P251/$N251)</f>
        <v/>
      </c>
      <c r="R251" s="21">
        <f>IF($P251="","",IF($P251&gt;0,"برد",IF($P251&lt;0,"باخت","سر به سر")))</f>
        <v/>
      </c>
      <c r="S251" s="22">
        <f>IF($P251="","",SUM($P$5:$P251))</f>
        <v/>
      </c>
      <c r="T251" s="24">
        <f>IF($R251="باخت",N($T250)+1,0)</f>
        <v/>
      </c>
      <c r="U251" s="22">
        <f>IF($S251="","",$S251-MAX($S$5:$S251))</f>
        <v/>
      </c>
    </row>
    <row r="252">
      <c r="A252" s="14" t="n"/>
      <c r="B252" s="15" t="n"/>
      <c r="C252" s="15" t="n"/>
      <c r="D252" s="15" t="n"/>
      <c r="E252" s="16" t="n"/>
      <c r="F252" s="16" t="n"/>
      <c r="G252" s="16" t="n"/>
      <c r="H252" s="17" t="n"/>
      <c r="I252" s="18" t="n"/>
      <c r="J252" s="18" t="n"/>
      <c r="K252" s="19" t="n"/>
      <c r="L252" s="20">
        <f>IF($B252="","",IFERROR(VLOOKUP($B252,'تنظیمات'!$A$4:$C$43,2,FALSE),1))</f>
        <v/>
      </c>
      <c r="M252" s="21">
        <f>IF($B252="","",IFERROR(VLOOKUP($B252,'تنظیمات'!$A$4:$C$43,3,FALSE),"USD"))</f>
        <v/>
      </c>
      <c r="N252" s="22">
        <f>IF(OR($E252="",$F252="",$H252="",$L252=""),"",ABS($E252-$F252)*$H252*IF($M252="BASE",$L252/$E252,$L252))</f>
        <v/>
      </c>
      <c r="O252" s="22">
        <f>IF($J252&lt;&gt;"",$J252,IF(OR($E252="",$G252="",$H252="",$L252=""),"",($G252-$E252)*IF($C252="فروش",-1,1)*$H252*IF($M252="BASE",$L252/$G252,$L252)))</f>
        <v/>
      </c>
      <c r="P252" s="22">
        <f>IF($O252="","",$O252-N($I252))</f>
        <v/>
      </c>
      <c r="Q252" s="23">
        <f>IF(OR($P252="",$N252="",$N252=0),"",$P252/$N252)</f>
        <v/>
      </c>
      <c r="R252" s="21">
        <f>IF($P252="","",IF($P252&gt;0,"برد",IF($P252&lt;0,"باخت","سر به سر")))</f>
        <v/>
      </c>
      <c r="S252" s="22">
        <f>IF($P252="","",SUM($P$5:$P252))</f>
        <v/>
      </c>
      <c r="T252" s="24">
        <f>IF($R252="باخت",N($T251)+1,0)</f>
        <v/>
      </c>
      <c r="U252" s="22">
        <f>IF($S252="","",$S252-MAX($S$5:$S252))</f>
        <v/>
      </c>
    </row>
    <row r="253">
      <c r="A253" s="14" t="n"/>
      <c r="B253" s="15" t="n"/>
      <c r="C253" s="15" t="n"/>
      <c r="D253" s="15" t="n"/>
      <c r="E253" s="16" t="n"/>
      <c r="F253" s="16" t="n"/>
      <c r="G253" s="16" t="n"/>
      <c r="H253" s="17" t="n"/>
      <c r="I253" s="18" t="n"/>
      <c r="J253" s="18" t="n"/>
      <c r="K253" s="19" t="n"/>
      <c r="L253" s="20">
        <f>IF($B253="","",IFERROR(VLOOKUP($B253,'تنظیمات'!$A$4:$C$43,2,FALSE),1))</f>
        <v/>
      </c>
      <c r="M253" s="21">
        <f>IF($B253="","",IFERROR(VLOOKUP($B253,'تنظیمات'!$A$4:$C$43,3,FALSE),"USD"))</f>
        <v/>
      </c>
      <c r="N253" s="22">
        <f>IF(OR($E253="",$F253="",$H253="",$L253=""),"",ABS($E253-$F253)*$H253*IF($M253="BASE",$L253/$E253,$L253))</f>
        <v/>
      </c>
      <c r="O253" s="22">
        <f>IF($J253&lt;&gt;"",$J253,IF(OR($E253="",$G253="",$H253="",$L253=""),"",($G253-$E253)*IF($C253="فروش",-1,1)*$H253*IF($M253="BASE",$L253/$G253,$L253)))</f>
        <v/>
      </c>
      <c r="P253" s="22">
        <f>IF($O253="","",$O253-N($I253))</f>
        <v/>
      </c>
      <c r="Q253" s="23">
        <f>IF(OR($P253="",$N253="",$N253=0),"",$P253/$N253)</f>
        <v/>
      </c>
      <c r="R253" s="21">
        <f>IF($P253="","",IF($P253&gt;0,"برد",IF($P253&lt;0,"باخت","سر به سر")))</f>
        <v/>
      </c>
      <c r="S253" s="22">
        <f>IF($P253="","",SUM($P$5:$P253))</f>
        <v/>
      </c>
      <c r="T253" s="24">
        <f>IF($R253="باخت",N($T252)+1,0)</f>
        <v/>
      </c>
      <c r="U253" s="22">
        <f>IF($S253="","",$S253-MAX($S$5:$S253))</f>
        <v/>
      </c>
    </row>
    <row r="254">
      <c r="A254" s="14" t="n"/>
      <c r="B254" s="15" t="n"/>
      <c r="C254" s="15" t="n"/>
      <c r="D254" s="15" t="n"/>
      <c r="E254" s="16" t="n"/>
      <c r="F254" s="16" t="n"/>
      <c r="G254" s="16" t="n"/>
      <c r="H254" s="17" t="n"/>
      <c r="I254" s="18" t="n"/>
      <c r="J254" s="18" t="n"/>
      <c r="K254" s="19" t="n"/>
      <c r="L254" s="20">
        <f>IF($B254="","",IFERROR(VLOOKUP($B254,'تنظیمات'!$A$4:$C$43,2,FALSE),1))</f>
        <v/>
      </c>
      <c r="M254" s="21">
        <f>IF($B254="","",IFERROR(VLOOKUP($B254,'تنظیمات'!$A$4:$C$43,3,FALSE),"USD"))</f>
        <v/>
      </c>
      <c r="N254" s="22">
        <f>IF(OR($E254="",$F254="",$H254="",$L254=""),"",ABS($E254-$F254)*$H254*IF($M254="BASE",$L254/$E254,$L254))</f>
        <v/>
      </c>
      <c r="O254" s="22">
        <f>IF($J254&lt;&gt;"",$J254,IF(OR($E254="",$G254="",$H254="",$L254=""),"",($G254-$E254)*IF($C254="فروش",-1,1)*$H254*IF($M254="BASE",$L254/$G254,$L254)))</f>
        <v/>
      </c>
      <c r="P254" s="22">
        <f>IF($O254="","",$O254-N($I254))</f>
        <v/>
      </c>
      <c r="Q254" s="23">
        <f>IF(OR($P254="",$N254="",$N254=0),"",$P254/$N254)</f>
        <v/>
      </c>
      <c r="R254" s="21">
        <f>IF($P254="","",IF($P254&gt;0,"برد",IF($P254&lt;0,"باخت","سر به سر")))</f>
        <v/>
      </c>
      <c r="S254" s="22">
        <f>IF($P254="","",SUM($P$5:$P254))</f>
        <v/>
      </c>
      <c r="T254" s="24">
        <f>IF($R254="باخت",N($T253)+1,0)</f>
        <v/>
      </c>
      <c r="U254" s="22">
        <f>IF($S254="","",$S254-MAX($S$5:$S254))</f>
        <v/>
      </c>
    </row>
    <row r="255">
      <c r="A255" s="14" t="n"/>
      <c r="B255" s="15" t="n"/>
      <c r="C255" s="15" t="n"/>
      <c r="D255" s="15" t="n"/>
      <c r="E255" s="16" t="n"/>
      <c r="F255" s="16" t="n"/>
      <c r="G255" s="16" t="n"/>
      <c r="H255" s="17" t="n"/>
      <c r="I255" s="18" t="n"/>
      <c r="J255" s="18" t="n"/>
      <c r="K255" s="19" t="n"/>
      <c r="L255" s="20">
        <f>IF($B255="","",IFERROR(VLOOKUP($B255,'تنظیمات'!$A$4:$C$43,2,FALSE),1))</f>
        <v/>
      </c>
      <c r="M255" s="21">
        <f>IF($B255="","",IFERROR(VLOOKUP($B255,'تنظیمات'!$A$4:$C$43,3,FALSE),"USD"))</f>
        <v/>
      </c>
      <c r="N255" s="22">
        <f>IF(OR($E255="",$F255="",$H255="",$L255=""),"",ABS($E255-$F255)*$H255*IF($M255="BASE",$L255/$E255,$L255))</f>
        <v/>
      </c>
      <c r="O255" s="22">
        <f>IF($J255&lt;&gt;"",$J255,IF(OR($E255="",$G255="",$H255="",$L255=""),"",($G255-$E255)*IF($C255="فروش",-1,1)*$H255*IF($M255="BASE",$L255/$G255,$L255)))</f>
        <v/>
      </c>
      <c r="P255" s="22">
        <f>IF($O255="","",$O255-N($I255))</f>
        <v/>
      </c>
      <c r="Q255" s="23">
        <f>IF(OR($P255="",$N255="",$N255=0),"",$P255/$N255)</f>
        <v/>
      </c>
      <c r="R255" s="21">
        <f>IF($P255="","",IF($P255&gt;0,"برد",IF($P255&lt;0,"باخت","سر به سر")))</f>
        <v/>
      </c>
      <c r="S255" s="22">
        <f>IF($P255="","",SUM($P$5:$P255))</f>
        <v/>
      </c>
      <c r="T255" s="24">
        <f>IF($R255="باخت",N($T254)+1,0)</f>
        <v/>
      </c>
      <c r="U255" s="22">
        <f>IF($S255="","",$S255-MAX($S$5:$S255))</f>
        <v/>
      </c>
    </row>
    <row r="256">
      <c r="A256" s="14" t="n"/>
      <c r="B256" s="15" t="n"/>
      <c r="C256" s="15" t="n"/>
      <c r="D256" s="15" t="n"/>
      <c r="E256" s="16" t="n"/>
      <c r="F256" s="16" t="n"/>
      <c r="G256" s="16" t="n"/>
      <c r="H256" s="17" t="n"/>
      <c r="I256" s="18" t="n"/>
      <c r="J256" s="18" t="n"/>
      <c r="K256" s="19" t="n"/>
      <c r="L256" s="20">
        <f>IF($B256="","",IFERROR(VLOOKUP($B256,'تنظیمات'!$A$4:$C$43,2,FALSE),1))</f>
        <v/>
      </c>
      <c r="M256" s="21">
        <f>IF($B256="","",IFERROR(VLOOKUP($B256,'تنظیمات'!$A$4:$C$43,3,FALSE),"USD"))</f>
        <v/>
      </c>
      <c r="N256" s="22">
        <f>IF(OR($E256="",$F256="",$H256="",$L256=""),"",ABS($E256-$F256)*$H256*IF($M256="BASE",$L256/$E256,$L256))</f>
        <v/>
      </c>
      <c r="O256" s="22">
        <f>IF($J256&lt;&gt;"",$J256,IF(OR($E256="",$G256="",$H256="",$L256=""),"",($G256-$E256)*IF($C256="فروش",-1,1)*$H256*IF($M256="BASE",$L256/$G256,$L256)))</f>
        <v/>
      </c>
      <c r="P256" s="22">
        <f>IF($O256="","",$O256-N($I256))</f>
        <v/>
      </c>
      <c r="Q256" s="23">
        <f>IF(OR($P256="",$N256="",$N256=0),"",$P256/$N256)</f>
        <v/>
      </c>
      <c r="R256" s="21">
        <f>IF($P256="","",IF($P256&gt;0,"برد",IF($P256&lt;0,"باخت","سر به سر")))</f>
        <v/>
      </c>
      <c r="S256" s="22">
        <f>IF($P256="","",SUM($P$5:$P256))</f>
        <v/>
      </c>
      <c r="T256" s="24">
        <f>IF($R256="باخت",N($T255)+1,0)</f>
        <v/>
      </c>
      <c r="U256" s="22">
        <f>IF($S256="","",$S256-MAX($S$5:$S256))</f>
        <v/>
      </c>
    </row>
    <row r="257">
      <c r="A257" s="14" t="n"/>
      <c r="B257" s="15" t="n"/>
      <c r="C257" s="15" t="n"/>
      <c r="D257" s="15" t="n"/>
      <c r="E257" s="16" t="n"/>
      <c r="F257" s="16" t="n"/>
      <c r="G257" s="16" t="n"/>
      <c r="H257" s="17" t="n"/>
      <c r="I257" s="18" t="n"/>
      <c r="J257" s="18" t="n"/>
      <c r="K257" s="19" t="n"/>
      <c r="L257" s="20">
        <f>IF($B257="","",IFERROR(VLOOKUP($B257,'تنظیمات'!$A$4:$C$43,2,FALSE),1))</f>
        <v/>
      </c>
      <c r="M257" s="21">
        <f>IF($B257="","",IFERROR(VLOOKUP($B257,'تنظیمات'!$A$4:$C$43,3,FALSE),"USD"))</f>
        <v/>
      </c>
      <c r="N257" s="22">
        <f>IF(OR($E257="",$F257="",$H257="",$L257=""),"",ABS($E257-$F257)*$H257*IF($M257="BASE",$L257/$E257,$L257))</f>
        <v/>
      </c>
      <c r="O257" s="22">
        <f>IF($J257&lt;&gt;"",$J257,IF(OR($E257="",$G257="",$H257="",$L257=""),"",($G257-$E257)*IF($C257="فروش",-1,1)*$H257*IF($M257="BASE",$L257/$G257,$L257)))</f>
        <v/>
      </c>
      <c r="P257" s="22">
        <f>IF($O257="","",$O257-N($I257))</f>
        <v/>
      </c>
      <c r="Q257" s="23">
        <f>IF(OR($P257="",$N257="",$N257=0),"",$P257/$N257)</f>
        <v/>
      </c>
      <c r="R257" s="21">
        <f>IF($P257="","",IF($P257&gt;0,"برد",IF($P257&lt;0,"باخت","سر به سر")))</f>
        <v/>
      </c>
      <c r="S257" s="22">
        <f>IF($P257="","",SUM($P$5:$P257))</f>
        <v/>
      </c>
      <c r="T257" s="24">
        <f>IF($R257="باخت",N($T256)+1,0)</f>
        <v/>
      </c>
      <c r="U257" s="22">
        <f>IF($S257="","",$S257-MAX($S$5:$S257))</f>
        <v/>
      </c>
    </row>
    <row r="258">
      <c r="A258" s="14" t="n"/>
      <c r="B258" s="15" t="n"/>
      <c r="C258" s="15" t="n"/>
      <c r="D258" s="15" t="n"/>
      <c r="E258" s="16" t="n"/>
      <c r="F258" s="16" t="n"/>
      <c r="G258" s="16" t="n"/>
      <c r="H258" s="17" t="n"/>
      <c r="I258" s="18" t="n"/>
      <c r="J258" s="18" t="n"/>
      <c r="K258" s="19" t="n"/>
      <c r="L258" s="20">
        <f>IF($B258="","",IFERROR(VLOOKUP($B258,'تنظیمات'!$A$4:$C$43,2,FALSE),1))</f>
        <v/>
      </c>
      <c r="M258" s="21">
        <f>IF($B258="","",IFERROR(VLOOKUP($B258,'تنظیمات'!$A$4:$C$43,3,FALSE),"USD"))</f>
        <v/>
      </c>
      <c r="N258" s="22">
        <f>IF(OR($E258="",$F258="",$H258="",$L258=""),"",ABS($E258-$F258)*$H258*IF($M258="BASE",$L258/$E258,$L258))</f>
        <v/>
      </c>
      <c r="O258" s="22">
        <f>IF($J258&lt;&gt;"",$J258,IF(OR($E258="",$G258="",$H258="",$L258=""),"",($G258-$E258)*IF($C258="فروش",-1,1)*$H258*IF($M258="BASE",$L258/$G258,$L258)))</f>
        <v/>
      </c>
      <c r="P258" s="22">
        <f>IF($O258="","",$O258-N($I258))</f>
        <v/>
      </c>
      <c r="Q258" s="23">
        <f>IF(OR($P258="",$N258="",$N258=0),"",$P258/$N258)</f>
        <v/>
      </c>
      <c r="R258" s="21">
        <f>IF($P258="","",IF($P258&gt;0,"برد",IF($P258&lt;0,"باخت","سر به سر")))</f>
        <v/>
      </c>
      <c r="S258" s="22">
        <f>IF($P258="","",SUM($P$5:$P258))</f>
        <v/>
      </c>
      <c r="T258" s="24">
        <f>IF($R258="باخت",N($T257)+1,0)</f>
        <v/>
      </c>
      <c r="U258" s="22">
        <f>IF($S258="","",$S258-MAX($S$5:$S258))</f>
        <v/>
      </c>
    </row>
    <row r="259">
      <c r="A259" s="14" t="n"/>
      <c r="B259" s="15" t="n"/>
      <c r="C259" s="15" t="n"/>
      <c r="D259" s="15" t="n"/>
      <c r="E259" s="16" t="n"/>
      <c r="F259" s="16" t="n"/>
      <c r="G259" s="16" t="n"/>
      <c r="H259" s="17" t="n"/>
      <c r="I259" s="18" t="n"/>
      <c r="J259" s="18" t="n"/>
      <c r="K259" s="19" t="n"/>
      <c r="L259" s="20">
        <f>IF($B259="","",IFERROR(VLOOKUP($B259,'تنظیمات'!$A$4:$C$43,2,FALSE),1))</f>
        <v/>
      </c>
      <c r="M259" s="21">
        <f>IF($B259="","",IFERROR(VLOOKUP($B259,'تنظیمات'!$A$4:$C$43,3,FALSE),"USD"))</f>
        <v/>
      </c>
      <c r="N259" s="22">
        <f>IF(OR($E259="",$F259="",$H259="",$L259=""),"",ABS($E259-$F259)*$H259*IF($M259="BASE",$L259/$E259,$L259))</f>
        <v/>
      </c>
      <c r="O259" s="22">
        <f>IF($J259&lt;&gt;"",$J259,IF(OR($E259="",$G259="",$H259="",$L259=""),"",($G259-$E259)*IF($C259="فروش",-1,1)*$H259*IF($M259="BASE",$L259/$G259,$L259)))</f>
        <v/>
      </c>
      <c r="P259" s="22">
        <f>IF($O259="","",$O259-N($I259))</f>
        <v/>
      </c>
      <c r="Q259" s="23">
        <f>IF(OR($P259="",$N259="",$N259=0),"",$P259/$N259)</f>
        <v/>
      </c>
      <c r="R259" s="21">
        <f>IF($P259="","",IF($P259&gt;0,"برد",IF($P259&lt;0,"باخت","سر به سر")))</f>
        <v/>
      </c>
      <c r="S259" s="22">
        <f>IF($P259="","",SUM($P$5:$P259))</f>
        <v/>
      </c>
      <c r="T259" s="24">
        <f>IF($R259="باخت",N($T258)+1,0)</f>
        <v/>
      </c>
      <c r="U259" s="22">
        <f>IF($S259="","",$S259-MAX($S$5:$S259))</f>
        <v/>
      </c>
    </row>
    <row r="260">
      <c r="A260" s="14" t="n"/>
      <c r="B260" s="15" t="n"/>
      <c r="C260" s="15" t="n"/>
      <c r="D260" s="15" t="n"/>
      <c r="E260" s="16" t="n"/>
      <c r="F260" s="16" t="n"/>
      <c r="G260" s="16" t="n"/>
      <c r="H260" s="17" t="n"/>
      <c r="I260" s="18" t="n"/>
      <c r="J260" s="18" t="n"/>
      <c r="K260" s="19" t="n"/>
      <c r="L260" s="20">
        <f>IF($B260="","",IFERROR(VLOOKUP($B260,'تنظیمات'!$A$4:$C$43,2,FALSE),1))</f>
        <v/>
      </c>
      <c r="M260" s="21">
        <f>IF($B260="","",IFERROR(VLOOKUP($B260,'تنظیمات'!$A$4:$C$43,3,FALSE),"USD"))</f>
        <v/>
      </c>
      <c r="N260" s="22">
        <f>IF(OR($E260="",$F260="",$H260="",$L260=""),"",ABS($E260-$F260)*$H260*IF($M260="BASE",$L260/$E260,$L260))</f>
        <v/>
      </c>
      <c r="O260" s="22">
        <f>IF($J260&lt;&gt;"",$J260,IF(OR($E260="",$G260="",$H260="",$L260=""),"",($G260-$E260)*IF($C260="فروش",-1,1)*$H260*IF($M260="BASE",$L260/$G260,$L260)))</f>
        <v/>
      </c>
      <c r="P260" s="22">
        <f>IF($O260="","",$O260-N($I260))</f>
        <v/>
      </c>
      <c r="Q260" s="23">
        <f>IF(OR($P260="",$N260="",$N260=0),"",$P260/$N260)</f>
        <v/>
      </c>
      <c r="R260" s="21">
        <f>IF($P260="","",IF($P260&gt;0,"برد",IF($P260&lt;0,"باخت","سر به سر")))</f>
        <v/>
      </c>
      <c r="S260" s="22">
        <f>IF($P260="","",SUM($P$5:$P260))</f>
        <v/>
      </c>
      <c r="T260" s="24">
        <f>IF($R260="باخت",N($T259)+1,0)</f>
        <v/>
      </c>
      <c r="U260" s="22">
        <f>IF($S260="","",$S260-MAX($S$5:$S260))</f>
        <v/>
      </c>
    </row>
    <row r="261">
      <c r="A261" s="14" t="n"/>
      <c r="B261" s="15" t="n"/>
      <c r="C261" s="15" t="n"/>
      <c r="D261" s="15" t="n"/>
      <c r="E261" s="16" t="n"/>
      <c r="F261" s="16" t="n"/>
      <c r="G261" s="16" t="n"/>
      <c r="H261" s="17" t="n"/>
      <c r="I261" s="18" t="n"/>
      <c r="J261" s="18" t="n"/>
      <c r="K261" s="19" t="n"/>
      <c r="L261" s="20">
        <f>IF($B261="","",IFERROR(VLOOKUP($B261,'تنظیمات'!$A$4:$C$43,2,FALSE),1))</f>
        <v/>
      </c>
      <c r="M261" s="21">
        <f>IF($B261="","",IFERROR(VLOOKUP($B261,'تنظیمات'!$A$4:$C$43,3,FALSE),"USD"))</f>
        <v/>
      </c>
      <c r="N261" s="22">
        <f>IF(OR($E261="",$F261="",$H261="",$L261=""),"",ABS($E261-$F261)*$H261*IF($M261="BASE",$L261/$E261,$L261))</f>
        <v/>
      </c>
      <c r="O261" s="22">
        <f>IF($J261&lt;&gt;"",$J261,IF(OR($E261="",$G261="",$H261="",$L261=""),"",($G261-$E261)*IF($C261="فروش",-1,1)*$H261*IF($M261="BASE",$L261/$G261,$L261)))</f>
        <v/>
      </c>
      <c r="P261" s="22">
        <f>IF($O261="","",$O261-N($I261))</f>
        <v/>
      </c>
      <c r="Q261" s="23">
        <f>IF(OR($P261="",$N261="",$N261=0),"",$P261/$N261)</f>
        <v/>
      </c>
      <c r="R261" s="21">
        <f>IF($P261="","",IF($P261&gt;0,"برد",IF($P261&lt;0,"باخت","سر به سر")))</f>
        <v/>
      </c>
      <c r="S261" s="22">
        <f>IF($P261="","",SUM($P$5:$P261))</f>
        <v/>
      </c>
      <c r="T261" s="24">
        <f>IF($R261="باخت",N($T260)+1,0)</f>
        <v/>
      </c>
      <c r="U261" s="22">
        <f>IF($S261="","",$S261-MAX($S$5:$S261))</f>
        <v/>
      </c>
    </row>
    <row r="262">
      <c r="A262" s="14" t="n"/>
      <c r="B262" s="15" t="n"/>
      <c r="C262" s="15" t="n"/>
      <c r="D262" s="15" t="n"/>
      <c r="E262" s="16" t="n"/>
      <c r="F262" s="16" t="n"/>
      <c r="G262" s="16" t="n"/>
      <c r="H262" s="17" t="n"/>
      <c r="I262" s="18" t="n"/>
      <c r="J262" s="18" t="n"/>
      <c r="K262" s="19" t="n"/>
      <c r="L262" s="20">
        <f>IF($B262="","",IFERROR(VLOOKUP($B262,'تنظیمات'!$A$4:$C$43,2,FALSE),1))</f>
        <v/>
      </c>
      <c r="M262" s="21">
        <f>IF($B262="","",IFERROR(VLOOKUP($B262,'تنظیمات'!$A$4:$C$43,3,FALSE),"USD"))</f>
        <v/>
      </c>
      <c r="N262" s="22">
        <f>IF(OR($E262="",$F262="",$H262="",$L262=""),"",ABS($E262-$F262)*$H262*IF($M262="BASE",$L262/$E262,$L262))</f>
        <v/>
      </c>
      <c r="O262" s="22">
        <f>IF($J262&lt;&gt;"",$J262,IF(OR($E262="",$G262="",$H262="",$L262=""),"",($G262-$E262)*IF($C262="فروش",-1,1)*$H262*IF($M262="BASE",$L262/$G262,$L262)))</f>
        <v/>
      </c>
      <c r="P262" s="22">
        <f>IF($O262="","",$O262-N($I262))</f>
        <v/>
      </c>
      <c r="Q262" s="23">
        <f>IF(OR($P262="",$N262="",$N262=0),"",$P262/$N262)</f>
        <v/>
      </c>
      <c r="R262" s="21">
        <f>IF($P262="","",IF($P262&gt;0,"برد",IF($P262&lt;0,"باخت","سر به سر")))</f>
        <v/>
      </c>
      <c r="S262" s="22">
        <f>IF($P262="","",SUM($P$5:$P262))</f>
        <v/>
      </c>
      <c r="T262" s="24">
        <f>IF($R262="باخت",N($T261)+1,0)</f>
        <v/>
      </c>
      <c r="U262" s="22">
        <f>IF($S262="","",$S262-MAX($S$5:$S262))</f>
        <v/>
      </c>
    </row>
    <row r="263">
      <c r="A263" s="14" t="n"/>
      <c r="B263" s="15" t="n"/>
      <c r="C263" s="15" t="n"/>
      <c r="D263" s="15" t="n"/>
      <c r="E263" s="16" t="n"/>
      <c r="F263" s="16" t="n"/>
      <c r="G263" s="16" t="n"/>
      <c r="H263" s="17" t="n"/>
      <c r="I263" s="18" t="n"/>
      <c r="J263" s="18" t="n"/>
      <c r="K263" s="19" t="n"/>
      <c r="L263" s="20">
        <f>IF($B263="","",IFERROR(VLOOKUP($B263,'تنظیمات'!$A$4:$C$43,2,FALSE),1))</f>
        <v/>
      </c>
      <c r="M263" s="21">
        <f>IF($B263="","",IFERROR(VLOOKUP($B263,'تنظیمات'!$A$4:$C$43,3,FALSE),"USD"))</f>
        <v/>
      </c>
      <c r="N263" s="22">
        <f>IF(OR($E263="",$F263="",$H263="",$L263=""),"",ABS($E263-$F263)*$H263*IF($M263="BASE",$L263/$E263,$L263))</f>
        <v/>
      </c>
      <c r="O263" s="22">
        <f>IF($J263&lt;&gt;"",$J263,IF(OR($E263="",$G263="",$H263="",$L263=""),"",($G263-$E263)*IF($C263="فروش",-1,1)*$H263*IF($M263="BASE",$L263/$G263,$L263)))</f>
        <v/>
      </c>
      <c r="P263" s="22">
        <f>IF($O263="","",$O263-N($I263))</f>
        <v/>
      </c>
      <c r="Q263" s="23">
        <f>IF(OR($P263="",$N263="",$N263=0),"",$P263/$N263)</f>
        <v/>
      </c>
      <c r="R263" s="21">
        <f>IF($P263="","",IF($P263&gt;0,"برد",IF($P263&lt;0,"باخت","سر به سر")))</f>
        <v/>
      </c>
      <c r="S263" s="22">
        <f>IF($P263="","",SUM($P$5:$P263))</f>
        <v/>
      </c>
      <c r="T263" s="24">
        <f>IF($R263="باخت",N($T262)+1,0)</f>
        <v/>
      </c>
      <c r="U263" s="22">
        <f>IF($S263="","",$S263-MAX($S$5:$S263))</f>
        <v/>
      </c>
    </row>
    <row r="264">
      <c r="A264" s="14" t="n"/>
      <c r="B264" s="15" t="n"/>
      <c r="C264" s="15" t="n"/>
      <c r="D264" s="15" t="n"/>
      <c r="E264" s="16" t="n"/>
      <c r="F264" s="16" t="n"/>
      <c r="G264" s="16" t="n"/>
      <c r="H264" s="17" t="n"/>
      <c r="I264" s="18" t="n"/>
      <c r="J264" s="18" t="n"/>
      <c r="K264" s="19" t="n"/>
      <c r="L264" s="20">
        <f>IF($B264="","",IFERROR(VLOOKUP($B264,'تنظیمات'!$A$4:$C$43,2,FALSE),1))</f>
        <v/>
      </c>
      <c r="M264" s="21">
        <f>IF($B264="","",IFERROR(VLOOKUP($B264,'تنظیمات'!$A$4:$C$43,3,FALSE),"USD"))</f>
        <v/>
      </c>
      <c r="N264" s="22">
        <f>IF(OR($E264="",$F264="",$H264="",$L264=""),"",ABS($E264-$F264)*$H264*IF($M264="BASE",$L264/$E264,$L264))</f>
        <v/>
      </c>
      <c r="O264" s="22">
        <f>IF($J264&lt;&gt;"",$J264,IF(OR($E264="",$G264="",$H264="",$L264=""),"",($G264-$E264)*IF($C264="فروش",-1,1)*$H264*IF($M264="BASE",$L264/$G264,$L264)))</f>
        <v/>
      </c>
      <c r="P264" s="22">
        <f>IF($O264="","",$O264-N($I264))</f>
        <v/>
      </c>
      <c r="Q264" s="23">
        <f>IF(OR($P264="",$N264="",$N264=0),"",$P264/$N264)</f>
        <v/>
      </c>
      <c r="R264" s="21">
        <f>IF($P264="","",IF($P264&gt;0,"برد",IF($P264&lt;0,"باخت","سر به سر")))</f>
        <v/>
      </c>
      <c r="S264" s="22">
        <f>IF($P264="","",SUM($P$5:$P264))</f>
        <v/>
      </c>
      <c r="T264" s="24">
        <f>IF($R264="باخت",N($T263)+1,0)</f>
        <v/>
      </c>
      <c r="U264" s="22">
        <f>IF($S264="","",$S264-MAX($S$5:$S264))</f>
        <v/>
      </c>
    </row>
    <row r="265">
      <c r="A265" s="14" t="n"/>
      <c r="B265" s="15" t="n"/>
      <c r="C265" s="15" t="n"/>
      <c r="D265" s="15" t="n"/>
      <c r="E265" s="16" t="n"/>
      <c r="F265" s="16" t="n"/>
      <c r="G265" s="16" t="n"/>
      <c r="H265" s="17" t="n"/>
      <c r="I265" s="18" t="n"/>
      <c r="J265" s="18" t="n"/>
      <c r="K265" s="19" t="n"/>
      <c r="L265" s="20">
        <f>IF($B265="","",IFERROR(VLOOKUP($B265,'تنظیمات'!$A$4:$C$43,2,FALSE),1))</f>
        <v/>
      </c>
      <c r="M265" s="21">
        <f>IF($B265="","",IFERROR(VLOOKUP($B265,'تنظیمات'!$A$4:$C$43,3,FALSE),"USD"))</f>
        <v/>
      </c>
      <c r="N265" s="22">
        <f>IF(OR($E265="",$F265="",$H265="",$L265=""),"",ABS($E265-$F265)*$H265*IF($M265="BASE",$L265/$E265,$L265))</f>
        <v/>
      </c>
      <c r="O265" s="22">
        <f>IF($J265&lt;&gt;"",$J265,IF(OR($E265="",$G265="",$H265="",$L265=""),"",($G265-$E265)*IF($C265="فروش",-1,1)*$H265*IF($M265="BASE",$L265/$G265,$L265)))</f>
        <v/>
      </c>
      <c r="P265" s="22">
        <f>IF($O265="","",$O265-N($I265))</f>
        <v/>
      </c>
      <c r="Q265" s="23">
        <f>IF(OR($P265="",$N265="",$N265=0),"",$P265/$N265)</f>
        <v/>
      </c>
      <c r="R265" s="21">
        <f>IF($P265="","",IF($P265&gt;0,"برد",IF($P265&lt;0,"باخت","سر به سر")))</f>
        <v/>
      </c>
      <c r="S265" s="22">
        <f>IF($P265="","",SUM($P$5:$P265))</f>
        <v/>
      </c>
      <c r="T265" s="24">
        <f>IF($R265="باخت",N($T264)+1,0)</f>
        <v/>
      </c>
      <c r="U265" s="22">
        <f>IF($S265="","",$S265-MAX($S$5:$S265))</f>
        <v/>
      </c>
    </row>
    <row r="266">
      <c r="A266" s="14" t="n"/>
      <c r="B266" s="15" t="n"/>
      <c r="C266" s="15" t="n"/>
      <c r="D266" s="15" t="n"/>
      <c r="E266" s="16" t="n"/>
      <c r="F266" s="16" t="n"/>
      <c r="G266" s="16" t="n"/>
      <c r="H266" s="17" t="n"/>
      <c r="I266" s="18" t="n"/>
      <c r="J266" s="18" t="n"/>
      <c r="K266" s="19" t="n"/>
      <c r="L266" s="20">
        <f>IF($B266="","",IFERROR(VLOOKUP($B266,'تنظیمات'!$A$4:$C$43,2,FALSE),1))</f>
        <v/>
      </c>
      <c r="M266" s="21">
        <f>IF($B266="","",IFERROR(VLOOKUP($B266,'تنظیمات'!$A$4:$C$43,3,FALSE),"USD"))</f>
        <v/>
      </c>
      <c r="N266" s="22">
        <f>IF(OR($E266="",$F266="",$H266="",$L266=""),"",ABS($E266-$F266)*$H266*IF($M266="BASE",$L266/$E266,$L266))</f>
        <v/>
      </c>
      <c r="O266" s="22">
        <f>IF($J266&lt;&gt;"",$J266,IF(OR($E266="",$G266="",$H266="",$L266=""),"",($G266-$E266)*IF($C266="فروش",-1,1)*$H266*IF($M266="BASE",$L266/$G266,$L266)))</f>
        <v/>
      </c>
      <c r="P266" s="22">
        <f>IF($O266="","",$O266-N($I266))</f>
        <v/>
      </c>
      <c r="Q266" s="23">
        <f>IF(OR($P266="",$N266="",$N266=0),"",$P266/$N266)</f>
        <v/>
      </c>
      <c r="R266" s="21">
        <f>IF($P266="","",IF($P266&gt;0,"برد",IF($P266&lt;0,"باخت","سر به سر")))</f>
        <v/>
      </c>
      <c r="S266" s="22">
        <f>IF($P266="","",SUM($P$5:$P266))</f>
        <v/>
      </c>
      <c r="T266" s="24">
        <f>IF($R266="باخت",N($T265)+1,0)</f>
        <v/>
      </c>
      <c r="U266" s="22">
        <f>IF($S266="","",$S266-MAX($S$5:$S266))</f>
        <v/>
      </c>
    </row>
    <row r="267">
      <c r="A267" s="14" t="n"/>
      <c r="B267" s="15" t="n"/>
      <c r="C267" s="15" t="n"/>
      <c r="D267" s="15" t="n"/>
      <c r="E267" s="16" t="n"/>
      <c r="F267" s="16" t="n"/>
      <c r="G267" s="16" t="n"/>
      <c r="H267" s="17" t="n"/>
      <c r="I267" s="18" t="n"/>
      <c r="J267" s="18" t="n"/>
      <c r="K267" s="19" t="n"/>
      <c r="L267" s="20">
        <f>IF($B267="","",IFERROR(VLOOKUP($B267,'تنظیمات'!$A$4:$C$43,2,FALSE),1))</f>
        <v/>
      </c>
      <c r="M267" s="21">
        <f>IF($B267="","",IFERROR(VLOOKUP($B267,'تنظیمات'!$A$4:$C$43,3,FALSE),"USD"))</f>
        <v/>
      </c>
      <c r="N267" s="22">
        <f>IF(OR($E267="",$F267="",$H267="",$L267=""),"",ABS($E267-$F267)*$H267*IF($M267="BASE",$L267/$E267,$L267))</f>
        <v/>
      </c>
      <c r="O267" s="22">
        <f>IF($J267&lt;&gt;"",$J267,IF(OR($E267="",$G267="",$H267="",$L267=""),"",($G267-$E267)*IF($C267="فروش",-1,1)*$H267*IF($M267="BASE",$L267/$G267,$L267)))</f>
        <v/>
      </c>
      <c r="P267" s="22">
        <f>IF($O267="","",$O267-N($I267))</f>
        <v/>
      </c>
      <c r="Q267" s="23">
        <f>IF(OR($P267="",$N267="",$N267=0),"",$P267/$N267)</f>
        <v/>
      </c>
      <c r="R267" s="21">
        <f>IF($P267="","",IF($P267&gt;0,"برد",IF($P267&lt;0,"باخت","سر به سر")))</f>
        <v/>
      </c>
      <c r="S267" s="22">
        <f>IF($P267="","",SUM($P$5:$P267))</f>
        <v/>
      </c>
      <c r="T267" s="24">
        <f>IF($R267="باخت",N($T266)+1,0)</f>
        <v/>
      </c>
      <c r="U267" s="22">
        <f>IF($S267="","",$S267-MAX($S$5:$S267))</f>
        <v/>
      </c>
    </row>
    <row r="268">
      <c r="A268" s="14" t="n"/>
      <c r="B268" s="15" t="n"/>
      <c r="C268" s="15" t="n"/>
      <c r="D268" s="15" t="n"/>
      <c r="E268" s="16" t="n"/>
      <c r="F268" s="16" t="n"/>
      <c r="G268" s="16" t="n"/>
      <c r="H268" s="17" t="n"/>
      <c r="I268" s="18" t="n"/>
      <c r="J268" s="18" t="n"/>
      <c r="K268" s="19" t="n"/>
      <c r="L268" s="20">
        <f>IF($B268="","",IFERROR(VLOOKUP($B268,'تنظیمات'!$A$4:$C$43,2,FALSE),1))</f>
        <v/>
      </c>
      <c r="M268" s="21">
        <f>IF($B268="","",IFERROR(VLOOKUP($B268,'تنظیمات'!$A$4:$C$43,3,FALSE),"USD"))</f>
        <v/>
      </c>
      <c r="N268" s="22">
        <f>IF(OR($E268="",$F268="",$H268="",$L268=""),"",ABS($E268-$F268)*$H268*IF($M268="BASE",$L268/$E268,$L268))</f>
        <v/>
      </c>
      <c r="O268" s="22">
        <f>IF($J268&lt;&gt;"",$J268,IF(OR($E268="",$G268="",$H268="",$L268=""),"",($G268-$E268)*IF($C268="فروش",-1,1)*$H268*IF($M268="BASE",$L268/$G268,$L268)))</f>
        <v/>
      </c>
      <c r="P268" s="22">
        <f>IF($O268="","",$O268-N($I268))</f>
        <v/>
      </c>
      <c r="Q268" s="23">
        <f>IF(OR($P268="",$N268="",$N268=0),"",$P268/$N268)</f>
        <v/>
      </c>
      <c r="R268" s="21">
        <f>IF($P268="","",IF($P268&gt;0,"برد",IF($P268&lt;0,"باخت","سر به سر")))</f>
        <v/>
      </c>
      <c r="S268" s="22">
        <f>IF($P268="","",SUM($P$5:$P268))</f>
        <v/>
      </c>
      <c r="T268" s="24">
        <f>IF($R268="باخت",N($T267)+1,0)</f>
        <v/>
      </c>
      <c r="U268" s="22">
        <f>IF($S268="","",$S268-MAX($S$5:$S268))</f>
        <v/>
      </c>
    </row>
    <row r="269">
      <c r="A269" s="14" t="n"/>
      <c r="B269" s="15" t="n"/>
      <c r="C269" s="15" t="n"/>
      <c r="D269" s="15" t="n"/>
      <c r="E269" s="16" t="n"/>
      <c r="F269" s="16" t="n"/>
      <c r="G269" s="16" t="n"/>
      <c r="H269" s="17" t="n"/>
      <c r="I269" s="18" t="n"/>
      <c r="J269" s="18" t="n"/>
      <c r="K269" s="19" t="n"/>
      <c r="L269" s="20">
        <f>IF($B269="","",IFERROR(VLOOKUP($B269,'تنظیمات'!$A$4:$C$43,2,FALSE),1))</f>
        <v/>
      </c>
      <c r="M269" s="21">
        <f>IF($B269="","",IFERROR(VLOOKUP($B269,'تنظیمات'!$A$4:$C$43,3,FALSE),"USD"))</f>
        <v/>
      </c>
      <c r="N269" s="22">
        <f>IF(OR($E269="",$F269="",$H269="",$L269=""),"",ABS($E269-$F269)*$H269*IF($M269="BASE",$L269/$E269,$L269))</f>
        <v/>
      </c>
      <c r="O269" s="22">
        <f>IF($J269&lt;&gt;"",$J269,IF(OR($E269="",$G269="",$H269="",$L269=""),"",($G269-$E269)*IF($C269="فروش",-1,1)*$H269*IF($M269="BASE",$L269/$G269,$L269)))</f>
        <v/>
      </c>
      <c r="P269" s="22">
        <f>IF($O269="","",$O269-N($I269))</f>
        <v/>
      </c>
      <c r="Q269" s="23">
        <f>IF(OR($P269="",$N269="",$N269=0),"",$P269/$N269)</f>
        <v/>
      </c>
      <c r="R269" s="21">
        <f>IF($P269="","",IF($P269&gt;0,"برد",IF($P269&lt;0,"باخت","سر به سر")))</f>
        <v/>
      </c>
      <c r="S269" s="22">
        <f>IF($P269="","",SUM($P$5:$P269))</f>
        <v/>
      </c>
      <c r="T269" s="24">
        <f>IF($R269="باخت",N($T268)+1,0)</f>
        <v/>
      </c>
      <c r="U269" s="22">
        <f>IF($S269="","",$S269-MAX($S$5:$S269))</f>
        <v/>
      </c>
    </row>
    <row r="270">
      <c r="A270" s="14" t="n"/>
      <c r="B270" s="15" t="n"/>
      <c r="C270" s="15" t="n"/>
      <c r="D270" s="15" t="n"/>
      <c r="E270" s="16" t="n"/>
      <c r="F270" s="16" t="n"/>
      <c r="G270" s="16" t="n"/>
      <c r="H270" s="17" t="n"/>
      <c r="I270" s="18" t="n"/>
      <c r="J270" s="18" t="n"/>
      <c r="K270" s="19" t="n"/>
      <c r="L270" s="20">
        <f>IF($B270="","",IFERROR(VLOOKUP($B270,'تنظیمات'!$A$4:$C$43,2,FALSE),1))</f>
        <v/>
      </c>
      <c r="M270" s="21">
        <f>IF($B270="","",IFERROR(VLOOKUP($B270,'تنظیمات'!$A$4:$C$43,3,FALSE),"USD"))</f>
        <v/>
      </c>
      <c r="N270" s="22">
        <f>IF(OR($E270="",$F270="",$H270="",$L270=""),"",ABS($E270-$F270)*$H270*IF($M270="BASE",$L270/$E270,$L270))</f>
        <v/>
      </c>
      <c r="O270" s="22">
        <f>IF($J270&lt;&gt;"",$J270,IF(OR($E270="",$G270="",$H270="",$L270=""),"",($G270-$E270)*IF($C270="فروش",-1,1)*$H270*IF($M270="BASE",$L270/$G270,$L270)))</f>
        <v/>
      </c>
      <c r="P270" s="22">
        <f>IF($O270="","",$O270-N($I270))</f>
        <v/>
      </c>
      <c r="Q270" s="23">
        <f>IF(OR($P270="",$N270="",$N270=0),"",$P270/$N270)</f>
        <v/>
      </c>
      <c r="R270" s="21">
        <f>IF($P270="","",IF($P270&gt;0,"برد",IF($P270&lt;0,"باخت","سر به سر")))</f>
        <v/>
      </c>
      <c r="S270" s="22">
        <f>IF($P270="","",SUM($P$5:$P270))</f>
        <v/>
      </c>
      <c r="T270" s="24">
        <f>IF($R270="باخت",N($T269)+1,0)</f>
        <v/>
      </c>
      <c r="U270" s="22">
        <f>IF($S270="","",$S270-MAX($S$5:$S270))</f>
        <v/>
      </c>
    </row>
    <row r="271">
      <c r="A271" s="14" t="n"/>
      <c r="B271" s="15" t="n"/>
      <c r="C271" s="15" t="n"/>
      <c r="D271" s="15" t="n"/>
      <c r="E271" s="16" t="n"/>
      <c r="F271" s="16" t="n"/>
      <c r="G271" s="16" t="n"/>
      <c r="H271" s="17" t="n"/>
      <c r="I271" s="18" t="n"/>
      <c r="J271" s="18" t="n"/>
      <c r="K271" s="19" t="n"/>
      <c r="L271" s="20">
        <f>IF($B271="","",IFERROR(VLOOKUP($B271,'تنظیمات'!$A$4:$C$43,2,FALSE),1))</f>
        <v/>
      </c>
      <c r="M271" s="21">
        <f>IF($B271="","",IFERROR(VLOOKUP($B271,'تنظیمات'!$A$4:$C$43,3,FALSE),"USD"))</f>
        <v/>
      </c>
      <c r="N271" s="22">
        <f>IF(OR($E271="",$F271="",$H271="",$L271=""),"",ABS($E271-$F271)*$H271*IF($M271="BASE",$L271/$E271,$L271))</f>
        <v/>
      </c>
      <c r="O271" s="22">
        <f>IF($J271&lt;&gt;"",$J271,IF(OR($E271="",$G271="",$H271="",$L271=""),"",($G271-$E271)*IF($C271="فروش",-1,1)*$H271*IF($M271="BASE",$L271/$G271,$L271)))</f>
        <v/>
      </c>
      <c r="P271" s="22">
        <f>IF($O271="","",$O271-N($I271))</f>
        <v/>
      </c>
      <c r="Q271" s="23">
        <f>IF(OR($P271="",$N271="",$N271=0),"",$P271/$N271)</f>
        <v/>
      </c>
      <c r="R271" s="21">
        <f>IF($P271="","",IF($P271&gt;0,"برد",IF($P271&lt;0,"باخت","سر به سر")))</f>
        <v/>
      </c>
      <c r="S271" s="22">
        <f>IF($P271="","",SUM($P$5:$P271))</f>
        <v/>
      </c>
      <c r="T271" s="24">
        <f>IF($R271="باخت",N($T270)+1,0)</f>
        <v/>
      </c>
      <c r="U271" s="22">
        <f>IF($S271="","",$S271-MAX($S$5:$S271))</f>
        <v/>
      </c>
    </row>
    <row r="272">
      <c r="A272" s="14" t="n"/>
      <c r="B272" s="15" t="n"/>
      <c r="C272" s="15" t="n"/>
      <c r="D272" s="15" t="n"/>
      <c r="E272" s="16" t="n"/>
      <c r="F272" s="16" t="n"/>
      <c r="G272" s="16" t="n"/>
      <c r="H272" s="17" t="n"/>
      <c r="I272" s="18" t="n"/>
      <c r="J272" s="18" t="n"/>
      <c r="K272" s="19" t="n"/>
      <c r="L272" s="20">
        <f>IF($B272="","",IFERROR(VLOOKUP($B272,'تنظیمات'!$A$4:$C$43,2,FALSE),1))</f>
        <v/>
      </c>
      <c r="M272" s="21">
        <f>IF($B272="","",IFERROR(VLOOKUP($B272,'تنظیمات'!$A$4:$C$43,3,FALSE),"USD"))</f>
        <v/>
      </c>
      <c r="N272" s="22">
        <f>IF(OR($E272="",$F272="",$H272="",$L272=""),"",ABS($E272-$F272)*$H272*IF($M272="BASE",$L272/$E272,$L272))</f>
        <v/>
      </c>
      <c r="O272" s="22">
        <f>IF($J272&lt;&gt;"",$J272,IF(OR($E272="",$G272="",$H272="",$L272=""),"",($G272-$E272)*IF($C272="فروش",-1,1)*$H272*IF($M272="BASE",$L272/$G272,$L272)))</f>
        <v/>
      </c>
      <c r="P272" s="22">
        <f>IF($O272="","",$O272-N($I272))</f>
        <v/>
      </c>
      <c r="Q272" s="23">
        <f>IF(OR($P272="",$N272="",$N272=0),"",$P272/$N272)</f>
        <v/>
      </c>
      <c r="R272" s="21">
        <f>IF($P272="","",IF($P272&gt;0,"برد",IF($P272&lt;0,"باخت","سر به سر")))</f>
        <v/>
      </c>
      <c r="S272" s="22">
        <f>IF($P272="","",SUM($P$5:$P272))</f>
        <v/>
      </c>
      <c r="T272" s="24">
        <f>IF($R272="باخت",N($T271)+1,0)</f>
        <v/>
      </c>
      <c r="U272" s="22">
        <f>IF($S272="","",$S272-MAX($S$5:$S272))</f>
        <v/>
      </c>
    </row>
    <row r="273">
      <c r="A273" s="14" t="n"/>
      <c r="B273" s="15" t="n"/>
      <c r="C273" s="15" t="n"/>
      <c r="D273" s="15" t="n"/>
      <c r="E273" s="16" t="n"/>
      <c r="F273" s="16" t="n"/>
      <c r="G273" s="16" t="n"/>
      <c r="H273" s="17" t="n"/>
      <c r="I273" s="18" t="n"/>
      <c r="J273" s="18" t="n"/>
      <c r="K273" s="19" t="n"/>
      <c r="L273" s="20">
        <f>IF($B273="","",IFERROR(VLOOKUP($B273,'تنظیمات'!$A$4:$C$43,2,FALSE),1))</f>
        <v/>
      </c>
      <c r="M273" s="21">
        <f>IF($B273="","",IFERROR(VLOOKUP($B273,'تنظیمات'!$A$4:$C$43,3,FALSE),"USD"))</f>
        <v/>
      </c>
      <c r="N273" s="22">
        <f>IF(OR($E273="",$F273="",$H273="",$L273=""),"",ABS($E273-$F273)*$H273*IF($M273="BASE",$L273/$E273,$L273))</f>
        <v/>
      </c>
      <c r="O273" s="22">
        <f>IF($J273&lt;&gt;"",$J273,IF(OR($E273="",$G273="",$H273="",$L273=""),"",($G273-$E273)*IF($C273="فروش",-1,1)*$H273*IF($M273="BASE",$L273/$G273,$L273)))</f>
        <v/>
      </c>
      <c r="P273" s="22">
        <f>IF($O273="","",$O273-N($I273))</f>
        <v/>
      </c>
      <c r="Q273" s="23">
        <f>IF(OR($P273="",$N273="",$N273=0),"",$P273/$N273)</f>
        <v/>
      </c>
      <c r="R273" s="21">
        <f>IF($P273="","",IF($P273&gt;0,"برد",IF($P273&lt;0,"باخت","سر به سر")))</f>
        <v/>
      </c>
      <c r="S273" s="22">
        <f>IF($P273="","",SUM($P$5:$P273))</f>
        <v/>
      </c>
      <c r="T273" s="24">
        <f>IF($R273="باخت",N($T272)+1,0)</f>
        <v/>
      </c>
      <c r="U273" s="22">
        <f>IF($S273="","",$S273-MAX($S$5:$S273))</f>
        <v/>
      </c>
    </row>
    <row r="274">
      <c r="A274" s="14" t="n"/>
      <c r="B274" s="15" t="n"/>
      <c r="C274" s="15" t="n"/>
      <c r="D274" s="15" t="n"/>
      <c r="E274" s="16" t="n"/>
      <c r="F274" s="16" t="n"/>
      <c r="G274" s="16" t="n"/>
      <c r="H274" s="17" t="n"/>
      <c r="I274" s="18" t="n"/>
      <c r="J274" s="18" t="n"/>
      <c r="K274" s="19" t="n"/>
      <c r="L274" s="20">
        <f>IF($B274="","",IFERROR(VLOOKUP($B274,'تنظیمات'!$A$4:$C$43,2,FALSE),1))</f>
        <v/>
      </c>
      <c r="M274" s="21">
        <f>IF($B274="","",IFERROR(VLOOKUP($B274,'تنظیمات'!$A$4:$C$43,3,FALSE),"USD"))</f>
        <v/>
      </c>
      <c r="N274" s="22">
        <f>IF(OR($E274="",$F274="",$H274="",$L274=""),"",ABS($E274-$F274)*$H274*IF($M274="BASE",$L274/$E274,$L274))</f>
        <v/>
      </c>
      <c r="O274" s="22">
        <f>IF($J274&lt;&gt;"",$J274,IF(OR($E274="",$G274="",$H274="",$L274=""),"",($G274-$E274)*IF($C274="فروش",-1,1)*$H274*IF($M274="BASE",$L274/$G274,$L274)))</f>
        <v/>
      </c>
      <c r="P274" s="22">
        <f>IF($O274="","",$O274-N($I274))</f>
        <v/>
      </c>
      <c r="Q274" s="23">
        <f>IF(OR($P274="",$N274="",$N274=0),"",$P274/$N274)</f>
        <v/>
      </c>
      <c r="R274" s="21">
        <f>IF($P274="","",IF($P274&gt;0,"برد",IF($P274&lt;0,"باخت","سر به سر")))</f>
        <v/>
      </c>
      <c r="S274" s="22">
        <f>IF($P274="","",SUM($P$5:$P274))</f>
        <v/>
      </c>
      <c r="T274" s="24">
        <f>IF($R274="باخت",N($T273)+1,0)</f>
        <v/>
      </c>
      <c r="U274" s="22">
        <f>IF($S274="","",$S274-MAX($S$5:$S274))</f>
        <v/>
      </c>
    </row>
    <row r="275">
      <c r="A275" s="14" t="n"/>
      <c r="B275" s="15" t="n"/>
      <c r="C275" s="15" t="n"/>
      <c r="D275" s="15" t="n"/>
      <c r="E275" s="16" t="n"/>
      <c r="F275" s="16" t="n"/>
      <c r="G275" s="16" t="n"/>
      <c r="H275" s="17" t="n"/>
      <c r="I275" s="18" t="n"/>
      <c r="J275" s="18" t="n"/>
      <c r="K275" s="19" t="n"/>
      <c r="L275" s="20">
        <f>IF($B275="","",IFERROR(VLOOKUP($B275,'تنظیمات'!$A$4:$C$43,2,FALSE),1))</f>
        <v/>
      </c>
      <c r="M275" s="21">
        <f>IF($B275="","",IFERROR(VLOOKUP($B275,'تنظیمات'!$A$4:$C$43,3,FALSE),"USD"))</f>
        <v/>
      </c>
      <c r="N275" s="22">
        <f>IF(OR($E275="",$F275="",$H275="",$L275=""),"",ABS($E275-$F275)*$H275*IF($M275="BASE",$L275/$E275,$L275))</f>
        <v/>
      </c>
      <c r="O275" s="22">
        <f>IF($J275&lt;&gt;"",$J275,IF(OR($E275="",$G275="",$H275="",$L275=""),"",($G275-$E275)*IF($C275="فروش",-1,1)*$H275*IF($M275="BASE",$L275/$G275,$L275)))</f>
        <v/>
      </c>
      <c r="P275" s="22">
        <f>IF($O275="","",$O275-N($I275))</f>
        <v/>
      </c>
      <c r="Q275" s="23">
        <f>IF(OR($P275="",$N275="",$N275=0),"",$P275/$N275)</f>
        <v/>
      </c>
      <c r="R275" s="21">
        <f>IF($P275="","",IF($P275&gt;0,"برد",IF($P275&lt;0,"باخت","سر به سر")))</f>
        <v/>
      </c>
      <c r="S275" s="22">
        <f>IF($P275="","",SUM($P$5:$P275))</f>
        <v/>
      </c>
      <c r="T275" s="24">
        <f>IF($R275="باخت",N($T274)+1,0)</f>
        <v/>
      </c>
      <c r="U275" s="22">
        <f>IF($S275="","",$S275-MAX($S$5:$S275))</f>
        <v/>
      </c>
    </row>
    <row r="276">
      <c r="A276" s="14" t="n"/>
      <c r="B276" s="15" t="n"/>
      <c r="C276" s="15" t="n"/>
      <c r="D276" s="15" t="n"/>
      <c r="E276" s="16" t="n"/>
      <c r="F276" s="16" t="n"/>
      <c r="G276" s="16" t="n"/>
      <c r="H276" s="17" t="n"/>
      <c r="I276" s="18" t="n"/>
      <c r="J276" s="18" t="n"/>
      <c r="K276" s="19" t="n"/>
      <c r="L276" s="20">
        <f>IF($B276="","",IFERROR(VLOOKUP($B276,'تنظیمات'!$A$4:$C$43,2,FALSE),1))</f>
        <v/>
      </c>
      <c r="M276" s="21">
        <f>IF($B276="","",IFERROR(VLOOKUP($B276,'تنظیمات'!$A$4:$C$43,3,FALSE),"USD"))</f>
        <v/>
      </c>
      <c r="N276" s="22">
        <f>IF(OR($E276="",$F276="",$H276="",$L276=""),"",ABS($E276-$F276)*$H276*IF($M276="BASE",$L276/$E276,$L276))</f>
        <v/>
      </c>
      <c r="O276" s="22">
        <f>IF($J276&lt;&gt;"",$J276,IF(OR($E276="",$G276="",$H276="",$L276=""),"",($G276-$E276)*IF($C276="فروش",-1,1)*$H276*IF($M276="BASE",$L276/$G276,$L276)))</f>
        <v/>
      </c>
      <c r="P276" s="22">
        <f>IF($O276="","",$O276-N($I276))</f>
        <v/>
      </c>
      <c r="Q276" s="23">
        <f>IF(OR($P276="",$N276="",$N276=0),"",$P276/$N276)</f>
        <v/>
      </c>
      <c r="R276" s="21">
        <f>IF($P276="","",IF($P276&gt;0,"برد",IF($P276&lt;0,"باخت","سر به سر")))</f>
        <v/>
      </c>
      <c r="S276" s="22">
        <f>IF($P276="","",SUM($P$5:$P276))</f>
        <v/>
      </c>
      <c r="T276" s="24">
        <f>IF($R276="باخت",N($T275)+1,0)</f>
        <v/>
      </c>
      <c r="U276" s="22">
        <f>IF($S276="","",$S276-MAX($S$5:$S276))</f>
        <v/>
      </c>
    </row>
    <row r="277">
      <c r="A277" s="14" t="n"/>
      <c r="B277" s="15" t="n"/>
      <c r="C277" s="15" t="n"/>
      <c r="D277" s="15" t="n"/>
      <c r="E277" s="16" t="n"/>
      <c r="F277" s="16" t="n"/>
      <c r="G277" s="16" t="n"/>
      <c r="H277" s="17" t="n"/>
      <c r="I277" s="18" t="n"/>
      <c r="J277" s="18" t="n"/>
      <c r="K277" s="19" t="n"/>
      <c r="L277" s="20">
        <f>IF($B277="","",IFERROR(VLOOKUP($B277,'تنظیمات'!$A$4:$C$43,2,FALSE),1))</f>
        <v/>
      </c>
      <c r="M277" s="21">
        <f>IF($B277="","",IFERROR(VLOOKUP($B277,'تنظیمات'!$A$4:$C$43,3,FALSE),"USD"))</f>
        <v/>
      </c>
      <c r="N277" s="22">
        <f>IF(OR($E277="",$F277="",$H277="",$L277=""),"",ABS($E277-$F277)*$H277*IF($M277="BASE",$L277/$E277,$L277))</f>
        <v/>
      </c>
      <c r="O277" s="22">
        <f>IF($J277&lt;&gt;"",$J277,IF(OR($E277="",$G277="",$H277="",$L277=""),"",($G277-$E277)*IF($C277="فروش",-1,1)*$H277*IF($M277="BASE",$L277/$G277,$L277)))</f>
        <v/>
      </c>
      <c r="P277" s="22">
        <f>IF($O277="","",$O277-N($I277))</f>
        <v/>
      </c>
      <c r="Q277" s="23">
        <f>IF(OR($P277="",$N277="",$N277=0),"",$P277/$N277)</f>
        <v/>
      </c>
      <c r="R277" s="21">
        <f>IF($P277="","",IF($P277&gt;0,"برد",IF($P277&lt;0,"باخت","سر به سر")))</f>
        <v/>
      </c>
      <c r="S277" s="22">
        <f>IF($P277="","",SUM($P$5:$P277))</f>
        <v/>
      </c>
      <c r="T277" s="24">
        <f>IF($R277="باخت",N($T276)+1,0)</f>
        <v/>
      </c>
      <c r="U277" s="22">
        <f>IF($S277="","",$S277-MAX($S$5:$S277))</f>
        <v/>
      </c>
    </row>
    <row r="278">
      <c r="A278" s="14" t="n"/>
      <c r="B278" s="15" t="n"/>
      <c r="C278" s="15" t="n"/>
      <c r="D278" s="15" t="n"/>
      <c r="E278" s="16" t="n"/>
      <c r="F278" s="16" t="n"/>
      <c r="G278" s="16" t="n"/>
      <c r="H278" s="17" t="n"/>
      <c r="I278" s="18" t="n"/>
      <c r="J278" s="18" t="n"/>
      <c r="K278" s="19" t="n"/>
      <c r="L278" s="20">
        <f>IF($B278="","",IFERROR(VLOOKUP($B278,'تنظیمات'!$A$4:$C$43,2,FALSE),1))</f>
        <v/>
      </c>
      <c r="M278" s="21">
        <f>IF($B278="","",IFERROR(VLOOKUP($B278,'تنظیمات'!$A$4:$C$43,3,FALSE),"USD"))</f>
        <v/>
      </c>
      <c r="N278" s="22">
        <f>IF(OR($E278="",$F278="",$H278="",$L278=""),"",ABS($E278-$F278)*$H278*IF($M278="BASE",$L278/$E278,$L278))</f>
        <v/>
      </c>
      <c r="O278" s="22">
        <f>IF($J278&lt;&gt;"",$J278,IF(OR($E278="",$G278="",$H278="",$L278=""),"",($G278-$E278)*IF($C278="فروش",-1,1)*$H278*IF($M278="BASE",$L278/$G278,$L278)))</f>
        <v/>
      </c>
      <c r="P278" s="22">
        <f>IF($O278="","",$O278-N($I278))</f>
        <v/>
      </c>
      <c r="Q278" s="23">
        <f>IF(OR($P278="",$N278="",$N278=0),"",$P278/$N278)</f>
        <v/>
      </c>
      <c r="R278" s="21">
        <f>IF($P278="","",IF($P278&gt;0,"برد",IF($P278&lt;0,"باخت","سر به سر")))</f>
        <v/>
      </c>
      <c r="S278" s="22">
        <f>IF($P278="","",SUM($P$5:$P278))</f>
        <v/>
      </c>
      <c r="T278" s="24">
        <f>IF($R278="باخت",N($T277)+1,0)</f>
        <v/>
      </c>
      <c r="U278" s="22">
        <f>IF($S278="","",$S278-MAX($S$5:$S278))</f>
        <v/>
      </c>
    </row>
    <row r="279">
      <c r="A279" s="14" t="n"/>
      <c r="B279" s="15" t="n"/>
      <c r="C279" s="15" t="n"/>
      <c r="D279" s="15" t="n"/>
      <c r="E279" s="16" t="n"/>
      <c r="F279" s="16" t="n"/>
      <c r="G279" s="16" t="n"/>
      <c r="H279" s="17" t="n"/>
      <c r="I279" s="18" t="n"/>
      <c r="J279" s="18" t="n"/>
      <c r="K279" s="19" t="n"/>
      <c r="L279" s="20">
        <f>IF($B279="","",IFERROR(VLOOKUP($B279,'تنظیمات'!$A$4:$C$43,2,FALSE),1))</f>
        <v/>
      </c>
      <c r="M279" s="21">
        <f>IF($B279="","",IFERROR(VLOOKUP($B279,'تنظیمات'!$A$4:$C$43,3,FALSE),"USD"))</f>
        <v/>
      </c>
      <c r="N279" s="22">
        <f>IF(OR($E279="",$F279="",$H279="",$L279=""),"",ABS($E279-$F279)*$H279*IF($M279="BASE",$L279/$E279,$L279))</f>
        <v/>
      </c>
      <c r="O279" s="22">
        <f>IF($J279&lt;&gt;"",$J279,IF(OR($E279="",$G279="",$H279="",$L279=""),"",($G279-$E279)*IF($C279="فروش",-1,1)*$H279*IF($M279="BASE",$L279/$G279,$L279)))</f>
        <v/>
      </c>
      <c r="P279" s="22">
        <f>IF($O279="","",$O279-N($I279))</f>
        <v/>
      </c>
      <c r="Q279" s="23">
        <f>IF(OR($P279="",$N279="",$N279=0),"",$P279/$N279)</f>
        <v/>
      </c>
      <c r="R279" s="21">
        <f>IF($P279="","",IF($P279&gt;0,"برد",IF($P279&lt;0,"باخت","سر به سر")))</f>
        <v/>
      </c>
      <c r="S279" s="22">
        <f>IF($P279="","",SUM($P$5:$P279))</f>
        <v/>
      </c>
      <c r="T279" s="24">
        <f>IF($R279="باخت",N($T278)+1,0)</f>
        <v/>
      </c>
      <c r="U279" s="22">
        <f>IF($S279="","",$S279-MAX($S$5:$S279))</f>
        <v/>
      </c>
    </row>
    <row r="280">
      <c r="A280" s="14" t="n"/>
      <c r="B280" s="15" t="n"/>
      <c r="C280" s="15" t="n"/>
      <c r="D280" s="15" t="n"/>
      <c r="E280" s="16" t="n"/>
      <c r="F280" s="16" t="n"/>
      <c r="G280" s="16" t="n"/>
      <c r="H280" s="17" t="n"/>
      <c r="I280" s="18" t="n"/>
      <c r="J280" s="18" t="n"/>
      <c r="K280" s="19" t="n"/>
      <c r="L280" s="20">
        <f>IF($B280="","",IFERROR(VLOOKUP($B280,'تنظیمات'!$A$4:$C$43,2,FALSE),1))</f>
        <v/>
      </c>
      <c r="M280" s="21">
        <f>IF($B280="","",IFERROR(VLOOKUP($B280,'تنظیمات'!$A$4:$C$43,3,FALSE),"USD"))</f>
        <v/>
      </c>
      <c r="N280" s="22">
        <f>IF(OR($E280="",$F280="",$H280="",$L280=""),"",ABS($E280-$F280)*$H280*IF($M280="BASE",$L280/$E280,$L280))</f>
        <v/>
      </c>
      <c r="O280" s="22">
        <f>IF($J280&lt;&gt;"",$J280,IF(OR($E280="",$G280="",$H280="",$L280=""),"",($G280-$E280)*IF($C280="فروش",-1,1)*$H280*IF($M280="BASE",$L280/$G280,$L280)))</f>
        <v/>
      </c>
      <c r="P280" s="22">
        <f>IF($O280="","",$O280-N($I280))</f>
        <v/>
      </c>
      <c r="Q280" s="23">
        <f>IF(OR($P280="",$N280="",$N280=0),"",$P280/$N280)</f>
        <v/>
      </c>
      <c r="R280" s="21">
        <f>IF($P280="","",IF($P280&gt;0,"برد",IF($P280&lt;0,"باخت","سر به سر")))</f>
        <v/>
      </c>
      <c r="S280" s="22">
        <f>IF($P280="","",SUM($P$5:$P280))</f>
        <v/>
      </c>
      <c r="T280" s="24">
        <f>IF($R280="باخت",N($T279)+1,0)</f>
        <v/>
      </c>
      <c r="U280" s="22">
        <f>IF($S280="","",$S280-MAX($S$5:$S280))</f>
        <v/>
      </c>
    </row>
    <row r="281">
      <c r="A281" s="14" t="n"/>
      <c r="B281" s="15" t="n"/>
      <c r="C281" s="15" t="n"/>
      <c r="D281" s="15" t="n"/>
      <c r="E281" s="16" t="n"/>
      <c r="F281" s="16" t="n"/>
      <c r="G281" s="16" t="n"/>
      <c r="H281" s="17" t="n"/>
      <c r="I281" s="18" t="n"/>
      <c r="J281" s="18" t="n"/>
      <c r="K281" s="19" t="n"/>
      <c r="L281" s="20">
        <f>IF($B281="","",IFERROR(VLOOKUP($B281,'تنظیمات'!$A$4:$C$43,2,FALSE),1))</f>
        <v/>
      </c>
      <c r="M281" s="21">
        <f>IF($B281="","",IFERROR(VLOOKUP($B281,'تنظیمات'!$A$4:$C$43,3,FALSE),"USD"))</f>
        <v/>
      </c>
      <c r="N281" s="22">
        <f>IF(OR($E281="",$F281="",$H281="",$L281=""),"",ABS($E281-$F281)*$H281*IF($M281="BASE",$L281/$E281,$L281))</f>
        <v/>
      </c>
      <c r="O281" s="22">
        <f>IF($J281&lt;&gt;"",$J281,IF(OR($E281="",$G281="",$H281="",$L281=""),"",($G281-$E281)*IF($C281="فروش",-1,1)*$H281*IF($M281="BASE",$L281/$G281,$L281)))</f>
        <v/>
      </c>
      <c r="P281" s="22">
        <f>IF($O281="","",$O281-N($I281))</f>
        <v/>
      </c>
      <c r="Q281" s="23">
        <f>IF(OR($P281="",$N281="",$N281=0),"",$P281/$N281)</f>
        <v/>
      </c>
      <c r="R281" s="21">
        <f>IF($P281="","",IF($P281&gt;0,"برد",IF($P281&lt;0,"باخت","سر به سر")))</f>
        <v/>
      </c>
      <c r="S281" s="22">
        <f>IF($P281="","",SUM($P$5:$P281))</f>
        <v/>
      </c>
      <c r="T281" s="24">
        <f>IF($R281="باخت",N($T280)+1,0)</f>
        <v/>
      </c>
      <c r="U281" s="22">
        <f>IF($S281="","",$S281-MAX($S$5:$S281))</f>
        <v/>
      </c>
    </row>
    <row r="282">
      <c r="A282" s="14" t="n"/>
      <c r="B282" s="15" t="n"/>
      <c r="C282" s="15" t="n"/>
      <c r="D282" s="15" t="n"/>
      <c r="E282" s="16" t="n"/>
      <c r="F282" s="16" t="n"/>
      <c r="G282" s="16" t="n"/>
      <c r="H282" s="17" t="n"/>
      <c r="I282" s="18" t="n"/>
      <c r="J282" s="18" t="n"/>
      <c r="K282" s="19" t="n"/>
      <c r="L282" s="20">
        <f>IF($B282="","",IFERROR(VLOOKUP($B282,'تنظیمات'!$A$4:$C$43,2,FALSE),1))</f>
        <v/>
      </c>
      <c r="M282" s="21">
        <f>IF($B282="","",IFERROR(VLOOKUP($B282,'تنظیمات'!$A$4:$C$43,3,FALSE),"USD"))</f>
        <v/>
      </c>
      <c r="N282" s="22">
        <f>IF(OR($E282="",$F282="",$H282="",$L282=""),"",ABS($E282-$F282)*$H282*IF($M282="BASE",$L282/$E282,$L282))</f>
        <v/>
      </c>
      <c r="O282" s="22">
        <f>IF($J282&lt;&gt;"",$J282,IF(OR($E282="",$G282="",$H282="",$L282=""),"",($G282-$E282)*IF($C282="فروش",-1,1)*$H282*IF($M282="BASE",$L282/$G282,$L282)))</f>
        <v/>
      </c>
      <c r="P282" s="22">
        <f>IF($O282="","",$O282-N($I282))</f>
        <v/>
      </c>
      <c r="Q282" s="23">
        <f>IF(OR($P282="",$N282="",$N282=0),"",$P282/$N282)</f>
        <v/>
      </c>
      <c r="R282" s="21">
        <f>IF($P282="","",IF($P282&gt;0,"برد",IF($P282&lt;0,"باخت","سر به سر")))</f>
        <v/>
      </c>
      <c r="S282" s="22">
        <f>IF($P282="","",SUM($P$5:$P282))</f>
        <v/>
      </c>
      <c r="T282" s="24">
        <f>IF($R282="باخت",N($T281)+1,0)</f>
        <v/>
      </c>
      <c r="U282" s="22">
        <f>IF($S282="","",$S282-MAX($S$5:$S282))</f>
        <v/>
      </c>
    </row>
    <row r="283">
      <c r="A283" s="14" t="n"/>
      <c r="B283" s="15" t="n"/>
      <c r="C283" s="15" t="n"/>
      <c r="D283" s="15" t="n"/>
      <c r="E283" s="16" t="n"/>
      <c r="F283" s="16" t="n"/>
      <c r="G283" s="16" t="n"/>
      <c r="H283" s="17" t="n"/>
      <c r="I283" s="18" t="n"/>
      <c r="J283" s="18" t="n"/>
      <c r="K283" s="19" t="n"/>
      <c r="L283" s="20">
        <f>IF($B283="","",IFERROR(VLOOKUP($B283,'تنظیمات'!$A$4:$C$43,2,FALSE),1))</f>
        <v/>
      </c>
      <c r="M283" s="21">
        <f>IF($B283="","",IFERROR(VLOOKUP($B283,'تنظیمات'!$A$4:$C$43,3,FALSE),"USD"))</f>
        <v/>
      </c>
      <c r="N283" s="22">
        <f>IF(OR($E283="",$F283="",$H283="",$L283=""),"",ABS($E283-$F283)*$H283*IF($M283="BASE",$L283/$E283,$L283))</f>
        <v/>
      </c>
      <c r="O283" s="22">
        <f>IF($J283&lt;&gt;"",$J283,IF(OR($E283="",$G283="",$H283="",$L283=""),"",($G283-$E283)*IF($C283="فروش",-1,1)*$H283*IF($M283="BASE",$L283/$G283,$L283)))</f>
        <v/>
      </c>
      <c r="P283" s="22">
        <f>IF($O283="","",$O283-N($I283))</f>
        <v/>
      </c>
      <c r="Q283" s="23">
        <f>IF(OR($P283="",$N283="",$N283=0),"",$P283/$N283)</f>
        <v/>
      </c>
      <c r="R283" s="21">
        <f>IF($P283="","",IF($P283&gt;0,"برد",IF($P283&lt;0,"باخت","سر به سر")))</f>
        <v/>
      </c>
      <c r="S283" s="22">
        <f>IF($P283="","",SUM($P$5:$P283))</f>
        <v/>
      </c>
      <c r="T283" s="24">
        <f>IF($R283="باخت",N($T282)+1,0)</f>
        <v/>
      </c>
      <c r="U283" s="22">
        <f>IF($S283="","",$S283-MAX($S$5:$S283))</f>
        <v/>
      </c>
    </row>
    <row r="284">
      <c r="A284" s="14" t="n"/>
      <c r="B284" s="15" t="n"/>
      <c r="C284" s="15" t="n"/>
      <c r="D284" s="15" t="n"/>
      <c r="E284" s="16" t="n"/>
      <c r="F284" s="16" t="n"/>
      <c r="G284" s="16" t="n"/>
      <c r="H284" s="17" t="n"/>
      <c r="I284" s="18" t="n"/>
      <c r="J284" s="18" t="n"/>
      <c r="K284" s="19" t="n"/>
      <c r="L284" s="20">
        <f>IF($B284="","",IFERROR(VLOOKUP($B284,'تنظیمات'!$A$4:$C$43,2,FALSE),1))</f>
        <v/>
      </c>
      <c r="M284" s="21">
        <f>IF($B284="","",IFERROR(VLOOKUP($B284,'تنظیمات'!$A$4:$C$43,3,FALSE),"USD"))</f>
        <v/>
      </c>
      <c r="N284" s="22">
        <f>IF(OR($E284="",$F284="",$H284="",$L284=""),"",ABS($E284-$F284)*$H284*IF($M284="BASE",$L284/$E284,$L284))</f>
        <v/>
      </c>
      <c r="O284" s="22">
        <f>IF($J284&lt;&gt;"",$J284,IF(OR($E284="",$G284="",$H284="",$L284=""),"",($G284-$E284)*IF($C284="فروش",-1,1)*$H284*IF($M284="BASE",$L284/$G284,$L284)))</f>
        <v/>
      </c>
      <c r="P284" s="22">
        <f>IF($O284="","",$O284-N($I284))</f>
        <v/>
      </c>
      <c r="Q284" s="23">
        <f>IF(OR($P284="",$N284="",$N284=0),"",$P284/$N284)</f>
        <v/>
      </c>
      <c r="R284" s="21">
        <f>IF($P284="","",IF($P284&gt;0,"برد",IF($P284&lt;0,"باخت","سر به سر")))</f>
        <v/>
      </c>
      <c r="S284" s="22">
        <f>IF($P284="","",SUM($P$5:$P284))</f>
        <v/>
      </c>
      <c r="T284" s="24">
        <f>IF($R284="باخت",N($T283)+1,0)</f>
        <v/>
      </c>
      <c r="U284" s="22">
        <f>IF($S284="","",$S284-MAX($S$5:$S284))</f>
        <v/>
      </c>
    </row>
    <row r="285">
      <c r="A285" s="14" t="n"/>
      <c r="B285" s="15" t="n"/>
      <c r="C285" s="15" t="n"/>
      <c r="D285" s="15" t="n"/>
      <c r="E285" s="16" t="n"/>
      <c r="F285" s="16" t="n"/>
      <c r="G285" s="16" t="n"/>
      <c r="H285" s="17" t="n"/>
      <c r="I285" s="18" t="n"/>
      <c r="J285" s="18" t="n"/>
      <c r="K285" s="19" t="n"/>
      <c r="L285" s="20">
        <f>IF($B285="","",IFERROR(VLOOKUP($B285,'تنظیمات'!$A$4:$C$43,2,FALSE),1))</f>
        <v/>
      </c>
      <c r="M285" s="21">
        <f>IF($B285="","",IFERROR(VLOOKUP($B285,'تنظیمات'!$A$4:$C$43,3,FALSE),"USD"))</f>
        <v/>
      </c>
      <c r="N285" s="22">
        <f>IF(OR($E285="",$F285="",$H285="",$L285=""),"",ABS($E285-$F285)*$H285*IF($M285="BASE",$L285/$E285,$L285))</f>
        <v/>
      </c>
      <c r="O285" s="22">
        <f>IF($J285&lt;&gt;"",$J285,IF(OR($E285="",$G285="",$H285="",$L285=""),"",($G285-$E285)*IF($C285="فروش",-1,1)*$H285*IF($M285="BASE",$L285/$G285,$L285)))</f>
        <v/>
      </c>
      <c r="P285" s="22">
        <f>IF($O285="","",$O285-N($I285))</f>
        <v/>
      </c>
      <c r="Q285" s="23">
        <f>IF(OR($P285="",$N285="",$N285=0),"",$P285/$N285)</f>
        <v/>
      </c>
      <c r="R285" s="21">
        <f>IF($P285="","",IF($P285&gt;0,"برد",IF($P285&lt;0,"باخت","سر به سر")))</f>
        <v/>
      </c>
      <c r="S285" s="22">
        <f>IF($P285="","",SUM($P$5:$P285))</f>
        <v/>
      </c>
      <c r="T285" s="24">
        <f>IF($R285="باخت",N($T284)+1,0)</f>
        <v/>
      </c>
      <c r="U285" s="22">
        <f>IF($S285="","",$S285-MAX($S$5:$S285))</f>
        <v/>
      </c>
    </row>
    <row r="286">
      <c r="A286" s="14" t="n"/>
      <c r="B286" s="15" t="n"/>
      <c r="C286" s="15" t="n"/>
      <c r="D286" s="15" t="n"/>
      <c r="E286" s="16" t="n"/>
      <c r="F286" s="16" t="n"/>
      <c r="G286" s="16" t="n"/>
      <c r="H286" s="17" t="n"/>
      <c r="I286" s="18" t="n"/>
      <c r="J286" s="18" t="n"/>
      <c r="K286" s="19" t="n"/>
      <c r="L286" s="20">
        <f>IF($B286="","",IFERROR(VLOOKUP($B286,'تنظیمات'!$A$4:$C$43,2,FALSE),1))</f>
        <v/>
      </c>
      <c r="M286" s="21">
        <f>IF($B286="","",IFERROR(VLOOKUP($B286,'تنظیمات'!$A$4:$C$43,3,FALSE),"USD"))</f>
        <v/>
      </c>
      <c r="N286" s="22">
        <f>IF(OR($E286="",$F286="",$H286="",$L286=""),"",ABS($E286-$F286)*$H286*IF($M286="BASE",$L286/$E286,$L286))</f>
        <v/>
      </c>
      <c r="O286" s="22">
        <f>IF($J286&lt;&gt;"",$J286,IF(OR($E286="",$G286="",$H286="",$L286=""),"",($G286-$E286)*IF($C286="فروش",-1,1)*$H286*IF($M286="BASE",$L286/$G286,$L286)))</f>
        <v/>
      </c>
      <c r="P286" s="22">
        <f>IF($O286="","",$O286-N($I286))</f>
        <v/>
      </c>
      <c r="Q286" s="23">
        <f>IF(OR($P286="",$N286="",$N286=0),"",$P286/$N286)</f>
        <v/>
      </c>
      <c r="R286" s="21">
        <f>IF($P286="","",IF($P286&gt;0,"برد",IF($P286&lt;0,"باخت","سر به سر")))</f>
        <v/>
      </c>
      <c r="S286" s="22">
        <f>IF($P286="","",SUM($P$5:$P286))</f>
        <v/>
      </c>
      <c r="T286" s="24">
        <f>IF($R286="باخت",N($T285)+1,0)</f>
        <v/>
      </c>
      <c r="U286" s="22">
        <f>IF($S286="","",$S286-MAX($S$5:$S286))</f>
        <v/>
      </c>
    </row>
    <row r="287">
      <c r="A287" s="14" t="n"/>
      <c r="B287" s="15" t="n"/>
      <c r="C287" s="15" t="n"/>
      <c r="D287" s="15" t="n"/>
      <c r="E287" s="16" t="n"/>
      <c r="F287" s="16" t="n"/>
      <c r="G287" s="16" t="n"/>
      <c r="H287" s="17" t="n"/>
      <c r="I287" s="18" t="n"/>
      <c r="J287" s="18" t="n"/>
      <c r="K287" s="19" t="n"/>
      <c r="L287" s="20">
        <f>IF($B287="","",IFERROR(VLOOKUP($B287,'تنظیمات'!$A$4:$C$43,2,FALSE),1))</f>
        <v/>
      </c>
      <c r="M287" s="21">
        <f>IF($B287="","",IFERROR(VLOOKUP($B287,'تنظیمات'!$A$4:$C$43,3,FALSE),"USD"))</f>
        <v/>
      </c>
      <c r="N287" s="22">
        <f>IF(OR($E287="",$F287="",$H287="",$L287=""),"",ABS($E287-$F287)*$H287*IF($M287="BASE",$L287/$E287,$L287))</f>
        <v/>
      </c>
      <c r="O287" s="22">
        <f>IF($J287&lt;&gt;"",$J287,IF(OR($E287="",$G287="",$H287="",$L287=""),"",($G287-$E287)*IF($C287="فروش",-1,1)*$H287*IF($M287="BASE",$L287/$G287,$L287)))</f>
        <v/>
      </c>
      <c r="P287" s="22">
        <f>IF($O287="","",$O287-N($I287))</f>
        <v/>
      </c>
      <c r="Q287" s="23">
        <f>IF(OR($P287="",$N287="",$N287=0),"",$P287/$N287)</f>
        <v/>
      </c>
      <c r="R287" s="21">
        <f>IF($P287="","",IF($P287&gt;0,"برد",IF($P287&lt;0,"باخت","سر به سر")))</f>
        <v/>
      </c>
      <c r="S287" s="22">
        <f>IF($P287="","",SUM($P$5:$P287))</f>
        <v/>
      </c>
      <c r="T287" s="24">
        <f>IF($R287="باخت",N($T286)+1,0)</f>
        <v/>
      </c>
      <c r="U287" s="22">
        <f>IF($S287="","",$S287-MAX($S$5:$S287))</f>
        <v/>
      </c>
    </row>
    <row r="288">
      <c r="A288" s="14" t="n"/>
      <c r="B288" s="15" t="n"/>
      <c r="C288" s="15" t="n"/>
      <c r="D288" s="15" t="n"/>
      <c r="E288" s="16" t="n"/>
      <c r="F288" s="16" t="n"/>
      <c r="G288" s="16" t="n"/>
      <c r="H288" s="17" t="n"/>
      <c r="I288" s="18" t="n"/>
      <c r="J288" s="18" t="n"/>
      <c r="K288" s="19" t="n"/>
      <c r="L288" s="20">
        <f>IF($B288="","",IFERROR(VLOOKUP($B288,'تنظیمات'!$A$4:$C$43,2,FALSE),1))</f>
        <v/>
      </c>
      <c r="M288" s="21">
        <f>IF($B288="","",IFERROR(VLOOKUP($B288,'تنظیمات'!$A$4:$C$43,3,FALSE),"USD"))</f>
        <v/>
      </c>
      <c r="N288" s="22">
        <f>IF(OR($E288="",$F288="",$H288="",$L288=""),"",ABS($E288-$F288)*$H288*IF($M288="BASE",$L288/$E288,$L288))</f>
        <v/>
      </c>
      <c r="O288" s="22">
        <f>IF($J288&lt;&gt;"",$J288,IF(OR($E288="",$G288="",$H288="",$L288=""),"",($G288-$E288)*IF($C288="فروش",-1,1)*$H288*IF($M288="BASE",$L288/$G288,$L288)))</f>
        <v/>
      </c>
      <c r="P288" s="22">
        <f>IF($O288="","",$O288-N($I288))</f>
        <v/>
      </c>
      <c r="Q288" s="23">
        <f>IF(OR($P288="",$N288="",$N288=0),"",$P288/$N288)</f>
        <v/>
      </c>
      <c r="R288" s="21">
        <f>IF($P288="","",IF($P288&gt;0,"برد",IF($P288&lt;0,"باخت","سر به سر")))</f>
        <v/>
      </c>
      <c r="S288" s="22">
        <f>IF($P288="","",SUM($P$5:$P288))</f>
        <v/>
      </c>
      <c r="T288" s="24">
        <f>IF($R288="باخت",N($T287)+1,0)</f>
        <v/>
      </c>
      <c r="U288" s="22">
        <f>IF($S288="","",$S288-MAX($S$5:$S288))</f>
        <v/>
      </c>
    </row>
    <row r="289">
      <c r="A289" s="14" t="n"/>
      <c r="B289" s="15" t="n"/>
      <c r="C289" s="15" t="n"/>
      <c r="D289" s="15" t="n"/>
      <c r="E289" s="16" t="n"/>
      <c r="F289" s="16" t="n"/>
      <c r="G289" s="16" t="n"/>
      <c r="H289" s="17" t="n"/>
      <c r="I289" s="18" t="n"/>
      <c r="J289" s="18" t="n"/>
      <c r="K289" s="19" t="n"/>
      <c r="L289" s="20">
        <f>IF($B289="","",IFERROR(VLOOKUP($B289,'تنظیمات'!$A$4:$C$43,2,FALSE),1))</f>
        <v/>
      </c>
      <c r="M289" s="21">
        <f>IF($B289="","",IFERROR(VLOOKUP($B289,'تنظیمات'!$A$4:$C$43,3,FALSE),"USD"))</f>
        <v/>
      </c>
      <c r="N289" s="22">
        <f>IF(OR($E289="",$F289="",$H289="",$L289=""),"",ABS($E289-$F289)*$H289*IF($M289="BASE",$L289/$E289,$L289))</f>
        <v/>
      </c>
      <c r="O289" s="22">
        <f>IF($J289&lt;&gt;"",$J289,IF(OR($E289="",$G289="",$H289="",$L289=""),"",($G289-$E289)*IF($C289="فروش",-1,1)*$H289*IF($M289="BASE",$L289/$G289,$L289)))</f>
        <v/>
      </c>
      <c r="P289" s="22">
        <f>IF($O289="","",$O289-N($I289))</f>
        <v/>
      </c>
      <c r="Q289" s="23">
        <f>IF(OR($P289="",$N289="",$N289=0),"",$P289/$N289)</f>
        <v/>
      </c>
      <c r="R289" s="21">
        <f>IF($P289="","",IF($P289&gt;0,"برد",IF($P289&lt;0,"باخت","سر به سر")))</f>
        <v/>
      </c>
      <c r="S289" s="22">
        <f>IF($P289="","",SUM($P$5:$P289))</f>
        <v/>
      </c>
      <c r="T289" s="24">
        <f>IF($R289="باخت",N($T288)+1,0)</f>
        <v/>
      </c>
      <c r="U289" s="22">
        <f>IF($S289="","",$S289-MAX($S$5:$S289))</f>
        <v/>
      </c>
    </row>
    <row r="290">
      <c r="A290" s="14" t="n"/>
      <c r="B290" s="15" t="n"/>
      <c r="C290" s="15" t="n"/>
      <c r="D290" s="15" t="n"/>
      <c r="E290" s="16" t="n"/>
      <c r="F290" s="16" t="n"/>
      <c r="G290" s="16" t="n"/>
      <c r="H290" s="17" t="n"/>
      <c r="I290" s="18" t="n"/>
      <c r="J290" s="18" t="n"/>
      <c r="K290" s="19" t="n"/>
      <c r="L290" s="20">
        <f>IF($B290="","",IFERROR(VLOOKUP($B290,'تنظیمات'!$A$4:$C$43,2,FALSE),1))</f>
        <v/>
      </c>
      <c r="M290" s="21">
        <f>IF($B290="","",IFERROR(VLOOKUP($B290,'تنظیمات'!$A$4:$C$43,3,FALSE),"USD"))</f>
        <v/>
      </c>
      <c r="N290" s="22">
        <f>IF(OR($E290="",$F290="",$H290="",$L290=""),"",ABS($E290-$F290)*$H290*IF($M290="BASE",$L290/$E290,$L290))</f>
        <v/>
      </c>
      <c r="O290" s="22">
        <f>IF($J290&lt;&gt;"",$J290,IF(OR($E290="",$G290="",$H290="",$L290=""),"",($G290-$E290)*IF($C290="فروش",-1,1)*$H290*IF($M290="BASE",$L290/$G290,$L290)))</f>
        <v/>
      </c>
      <c r="P290" s="22">
        <f>IF($O290="","",$O290-N($I290))</f>
        <v/>
      </c>
      <c r="Q290" s="23">
        <f>IF(OR($P290="",$N290="",$N290=0),"",$P290/$N290)</f>
        <v/>
      </c>
      <c r="R290" s="21">
        <f>IF($P290="","",IF($P290&gt;0,"برد",IF($P290&lt;0,"باخت","سر به سر")))</f>
        <v/>
      </c>
      <c r="S290" s="22">
        <f>IF($P290="","",SUM($P$5:$P290))</f>
        <v/>
      </c>
      <c r="T290" s="24">
        <f>IF($R290="باخت",N($T289)+1,0)</f>
        <v/>
      </c>
      <c r="U290" s="22">
        <f>IF($S290="","",$S290-MAX($S$5:$S290))</f>
        <v/>
      </c>
    </row>
    <row r="291">
      <c r="A291" s="14" t="n"/>
      <c r="B291" s="15" t="n"/>
      <c r="C291" s="15" t="n"/>
      <c r="D291" s="15" t="n"/>
      <c r="E291" s="16" t="n"/>
      <c r="F291" s="16" t="n"/>
      <c r="G291" s="16" t="n"/>
      <c r="H291" s="17" t="n"/>
      <c r="I291" s="18" t="n"/>
      <c r="J291" s="18" t="n"/>
      <c r="K291" s="19" t="n"/>
      <c r="L291" s="20">
        <f>IF($B291="","",IFERROR(VLOOKUP($B291,'تنظیمات'!$A$4:$C$43,2,FALSE),1))</f>
        <v/>
      </c>
      <c r="M291" s="21">
        <f>IF($B291="","",IFERROR(VLOOKUP($B291,'تنظیمات'!$A$4:$C$43,3,FALSE),"USD"))</f>
        <v/>
      </c>
      <c r="N291" s="22">
        <f>IF(OR($E291="",$F291="",$H291="",$L291=""),"",ABS($E291-$F291)*$H291*IF($M291="BASE",$L291/$E291,$L291))</f>
        <v/>
      </c>
      <c r="O291" s="22">
        <f>IF($J291&lt;&gt;"",$J291,IF(OR($E291="",$G291="",$H291="",$L291=""),"",($G291-$E291)*IF($C291="فروش",-1,1)*$H291*IF($M291="BASE",$L291/$G291,$L291)))</f>
        <v/>
      </c>
      <c r="P291" s="22">
        <f>IF($O291="","",$O291-N($I291))</f>
        <v/>
      </c>
      <c r="Q291" s="23">
        <f>IF(OR($P291="",$N291="",$N291=0),"",$P291/$N291)</f>
        <v/>
      </c>
      <c r="R291" s="21">
        <f>IF($P291="","",IF($P291&gt;0,"برد",IF($P291&lt;0,"باخت","سر به سر")))</f>
        <v/>
      </c>
      <c r="S291" s="22">
        <f>IF($P291="","",SUM($P$5:$P291))</f>
        <v/>
      </c>
      <c r="T291" s="24">
        <f>IF($R291="باخت",N($T290)+1,0)</f>
        <v/>
      </c>
      <c r="U291" s="22">
        <f>IF($S291="","",$S291-MAX($S$5:$S291))</f>
        <v/>
      </c>
    </row>
    <row r="292">
      <c r="A292" s="14" t="n"/>
      <c r="B292" s="15" t="n"/>
      <c r="C292" s="15" t="n"/>
      <c r="D292" s="15" t="n"/>
      <c r="E292" s="16" t="n"/>
      <c r="F292" s="16" t="n"/>
      <c r="G292" s="16" t="n"/>
      <c r="H292" s="17" t="n"/>
      <c r="I292" s="18" t="n"/>
      <c r="J292" s="18" t="n"/>
      <c r="K292" s="19" t="n"/>
      <c r="L292" s="20">
        <f>IF($B292="","",IFERROR(VLOOKUP($B292,'تنظیمات'!$A$4:$C$43,2,FALSE),1))</f>
        <v/>
      </c>
      <c r="M292" s="21">
        <f>IF($B292="","",IFERROR(VLOOKUP($B292,'تنظیمات'!$A$4:$C$43,3,FALSE),"USD"))</f>
        <v/>
      </c>
      <c r="N292" s="22">
        <f>IF(OR($E292="",$F292="",$H292="",$L292=""),"",ABS($E292-$F292)*$H292*IF($M292="BASE",$L292/$E292,$L292))</f>
        <v/>
      </c>
      <c r="O292" s="22">
        <f>IF($J292&lt;&gt;"",$J292,IF(OR($E292="",$G292="",$H292="",$L292=""),"",($G292-$E292)*IF($C292="فروش",-1,1)*$H292*IF($M292="BASE",$L292/$G292,$L292)))</f>
        <v/>
      </c>
      <c r="P292" s="22">
        <f>IF($O292="","",$O292-N($I292))</f>
        <v/>
      </c>
      <c r="Q292" s="23">
        <f>IF(OR($P292="",$N292="",$N292=0),"",$P292/$N292)</f>
        <v/>
      </c>
      <c r="R292" s="21">
        <f>IF($P292="","",IF($P292&gt;0,"برد",IF($P292&lt;0,"باخت","سر به سر")))</f>
        <v/>
      </c>
      <c r="S292" s="22">
        <f>IF($P292="","",SUM($P$5:$P292))</f>
        <v/>
      </c>
      <c r="T292" s="24">
        <f>IF($R292="باخت",N($T291)+1,0)</f>
        <v/>
      </c>
      <c r="U292" s="22">
        <f>IF($S292="","",$S292-MAX($S$5:$S292))</f>
        <v/>
      </c>
    </row>
    <row r="293">
      <c r="A293" s="14" t="n"/>
      <c r="B293" s="15" t="n"/>
      <c r="C293" s="15" t="n"/>
      <c r="D293" s="15" t="n"/>
      <c r="E293" s="16" t="n"/>
      <c r="F293" s="16" t="n"/>
      <c r="G293" s="16" t="n"/>
      <c r="H293" s="17" t="n"/>
      <c r="I293" s="18" t="n"/>
      <c r="J293" s="18" t="n"/>
      <c r="K293" s="19" t="n"/>
      <c r="L293" s="20">
        <f>IF($B293="","",IFERROR(VLOOKUP($B293,'تنظیمات'!$A$4:$C$43,2,FALSE),1))</f>
        <v/>
      </c>
      <c r="M293" s="21">
        <f>IF($B293="","",IFERROR(VLOOKUP($B293,'تنظیمات'!$A$4:$C$43,3,FALSE),"USD"))</f>
        <v/>
      </c>
      <c r="N293" s="22">
        <f>IF(OR($E293="",$F293="",$H293="",$L293=""),"",ABS($E293-$F293)*$H293*IF($M293="BASE",$L293/$E293,$L293))</f>
        <v/>
      </c>
      <c r="O293" s="22">
        <f>IF($J293&lt;&gt;"",$J293,IF(OR($E293="",$G293="",$H293="",$L293=""),"",($G293-$E293)*IF($C293="فروش",-1,1)*$H293*IF($M293="BASE",$L293/$G293,$L293)))</f>
        <v/>
      </c>
      <c r="P293" s="22">
        <f>IF($O293="","",$O293-N($I293))</f>
        <v/>
      </c>
      <c r="Q293" s="23">
        <f>IF(OR($P293="",$N293="",$N293=0),"",$P293/$N293)</f>
        <v/>
      </c>
      <c r="R293" s="21">
        <f>IF($P293="","",IF($P293&gt;0,"برد",IF($P293&lt;0,"باخت","سر به سر")))</f>
        <v/>
      </c>
      <c r="S293" s="22">
        <f>IF($P293="","",SUM($P$5:$P293))</f>
        <v/>
      </c>
      <c r="T293" s="24">
        <f>IF($R293="باخت",N($T292)+1,0)</f>
        <v/>
      </c>
      <c r="U293" s="22">
        <f>IF($S293="","",$S293-MAX($S$5:$S293))</f>
        <v/>
      </c>
    </row>
    <row r="294">
      <c r="A294" s="14" t="n"/>
      <c r="B294" s="15" t="n"/>
      <c r="C294" s="15" t="n"/>
      <c r="D294" s="15" t="n"/>
      <c r="E294" s="16" t="n"/>
      <c r="F294" s="16" t="n"/>
      <c r="G294" s="16" t="n"/>
      <c r="H294" s="17" t="n"/>
      <c r="I294" s="18" t="n"/>
      <c r="J294" s="18" t="n"/>
      <c r="K294" s="19" t="n"/>
      <c r="L294" s="20">
        <f>IF($B294="","",IFERROR(VLOOKUP($B294,'تنظیمات'!$A$4:$C$43,2,FALSE),1))</f>
        <v/>
      </c>
      <c r="M294" s="21">
        <f>IF($B294="","",IFERROR(VLOOKUP($B294,'تنظیمات'!$A$4:$C$43,3,FALSE),"USD"))</f>
        <v/>
      </c>
      <c r="N294" s="22">
        <f>IF(OR($E294="",$F294="",$H294="",$L294=""),"",ABS($E294-$F294)*$H294*IF($M294="BASE",$L294/$E294,$L294))</f>
        <v/>
      </c>
      <c r="O294" s="22">
        <f>IF($J294&lt;&gt;"",$J294,IF(OR($E294="",$G294="",$H294="",$L294=""),"",($G294-$E294)*IF($C294="فروش",-1,1)*$H294*IF($M294="BASE",$L294/$G294,$L294)))</f>
        <v/>
      </c>
      <c r="P294" s="22">
        <f>IF($O294="","",$O294-N($I294))</f>
        <v/>
      </c>
      <c r="Q294" s="23">
        <f>IF(OR($P294="",$N294="",$N294=0),"",$P294/$N294)</f>
        <v/>
      </c>
      <c r="R294" s="21">
        <f>IF($P294="","",IF($P294&gt;0,"برد",IF($P294&lt;0,"باخت","سر به سر")))</f>
        <v/>
      </c>
      <c r="S294" s="22">
        <f>IF($P294="","",SUM($P$5:$P294))</f>
        <v/>
      </c>
      <c r="T294" s="24">
        <f>IF($R294="باخت",N($T293)+1,0)</f>
        <v/>
      </c>
      <c r="U294" s="22">
        <f>IF($S294="","",$S294-MAX($S$5:$S294))</f>
        <v/>
      </c>
    </row>
    <row r="295">
      <c r="A295" s="14" t="n"/>
      <c r="B295" s="15" t="n"/>
      <c r="C295" s="15" t="n"/>
      <c r="D295" s="15" t="n"/>
      <c r="E295" s="16" t="n"/>
      <c r="F295" s="16" t="n"/>
      <c r="G295" s="16" t="n"/>
      <c r="H295" s="17" t="n"/>
      <c r="I295" s="18" t="n"/>
      <c r="J295" s="18" t="n"/>
      <c r="K295" s="19" t="n"/>
      <c r="L295" s="20">
        <f>IF($B295="","",IFERROR(VLOOKUP($B295,'تنظیمات'!$A$4:$C$43,2,FALSE),1))</f>
        <v/>
      </c>
      <c r="M295" s="21">
        <f>IF($B295="","",IFERROR(VLOOKUP($B295,'تنظیمات'!$A$4:$C$43,3,FALSE),"USD"))</f>
        <v/>
      </c>
      <c r="N295" s="22">
        <f>IF(OR($E295="",$F295="",$H295="",$L295=""),"",ABS($E295-$F295)*$H295*IF($M295="BASE",$L295/$E295,$L295))</f>
        <v/>
      </c>
      <c r="O295" s="22">
        <f>IF($J295&lt;&gt;"",$J295,IF(OR($E295="",$G295="",$H295="",$L295=""),"",($G295-$E295)*IF($C295="فروش",-1,1)*$H295*IF($M295="BASE",$L295/$G295,$L295)))</f>
        <v/>
      </c>
      <c r="P295" s="22">
        <f>IF($O295="","",$O295-N($I295))</f>
        <v/>
      </c>
      <c r="Q295" s="23">
        <f>IF(OR($P295="",$N295="",$N295=0),"",$P295/$N295)</f>
        <v/>
      </c>
      <c r="R295" s="21">
        <f>IF($P295="","",IF($P295&gt;0,"برد",IF($P295&lt;0,"باخت","سر به سر")))</f>
        <v/>
      </c>
      <c r="S295" s="22">
        <f>IF($P295="","",SUM($P$5:$P295))</f>
        <v/>
      </c>
      <c r="T295" s="24">
        <f>IF($R295="باخت",N($T294)+1,0)</f>
        <v/>
      </c>
      <c r="U295" s="22">
        <f>IF($S295="","",$S295-MAX($S$5:$S295))</f>
        <v/>
      </c>
    </row>
    <row r="296">
      <c r="A296" s="14" t="n"/>
      <c r="B296" s="15" t="n"/>
      <c r="C296" s="15" t="n"/>
      <c r="D296" s="15" t="n"/>
      <c r="E296" s="16" t="n"/>
      <c r="F296" s="16" t="n"/>
      <c r="G296" s="16" t="n"/>
      <c r="H296" s="17" t="n"/>
      <c r="I296" s="18" t="n"/>
      <c r="J296" s="18" t="n"/>
      <c r="K296" s="19" t="n"/>
      <c r="L296" s="20">
        <f>IF($B296="","",IFERROR(VLOOKUP($B296,'تنظیمات'!$A$4:$C$43,2,FALSE),1))</f>
        <v/>
      </c>
      <c r="M296" s="21">
        <f>IF($B296="","",IFERROR(VLOOKUP($B296,'تنظیمات'!$A$4:$C$43,3,FALSE),"USD"))</f>
        <v/>
      </c>
      <c r="N296" s="22">
        <f>IF(OR($E296="",$F296="",$H296="",$L296=""),"",ABS($E296-$F296)*$H296*IF($M296="BASE",$L296/$E296,$L296))</f>
        <v/>
      </c>
      <c r="O296" s="22">
        <f>IF($J296&lt;&gt;"",$J296,IF(OR($E296="",$G296="",$H296="",$L296=""),"",($G296-$E296)*IF($C296="فروش",-1,1)*$H296*IF($M296="BASE",$L296/$G296,$L296)))</f>
        <v/>
      </c>
      <c r="P296" s="22">
        <f>IF($O296="","",$O296-N($I296))</f>
        <v/>
      </c>
      <c r="Q296" s="23">
        <f>IF(OR($P296="",$N296="",$N296=0),"",$P296/$N296)</f>
        <v/>
      </c>
      <c r="R296" s="21">
        <f>IF($P296="","",IF($P296&gt;0,"برد",IF($P296&lt;0,"باخت","سر به سر")))</f>
        <v/>
      </c>
      <c r="S296" s="22">
        <f>IF($P296="","",SUM($P$5:$P296))</f>
        <v/>
      </c>
      <c r="T296" s="24">
        <f>IF($R296="باخت",N($T295)+1,0)</f>
        <v/>
      </c>
      <c r="U296" s="22">
        <f>IF($S296="","",$S296-MAX($S$5:$S296))</f>
        <v/>
      </c>
    </row>
    <row r="297">
      <c r="A297" s="14" t="n"/>
      <c r="B297" s="15" t="n"/>
      <c r="C297" s="15" t="n"/>
      <c r="D297" s="15" t="n"/>
      <c r="E297" s="16" t="n"/>
      <c r="F297" s="16" t="n"/>
      <c r="G297" s="16" t="n"/>
      <c r="H297" s="17" t="n"/>
      <c r="I297" s="18" t="n"/>
      <c r="J297" s="18" t="n"/>
      <c r="K297" s="19" t="n"/>
      <c r="L297" s="20">
        <f>IF($B297="","",IFERROR(VLOOKUP($B297,'تنظیمات'!$A$4:$C$43,2,FALSE),1))</f>
        <v/>
      </c>
      <c r="M297" s="21">
        <f>IF($B297="","",IFERROR(VLOOKUP($B297,'تنظیمات'!$A$4:$C$43,3,FALSE),"USD"))</f>
        <v/>
      </c>
      <c r="N297" s="22">
        <f>IF(OR($E297="",$F297="",$H297="",$L297=""),"",ABS($E297-$F297)*$H297*IF($M297="BASE",$L297/$E297,$L297))</f>
        <v/>
      </c>
      <c r="O297" s="22">
        <f>IF($J297&lt;&gt;"",$J297,IF(OR($E297="",$G297="",$H297="",$L297=""),"",($G297-$E297)*IF($C297="فروش",-1,1)*$H297*IF($M297="BASE",$L297/$G297,$L297)))</f>
        <v/>
      </c>
      <c r="P297" s="22">
        <f>IF($O297="","",$O297-N($I297))</f>
        <v/>
      </c>
      <c r="Q297" s="23">
        <f>IF(OR($P297="",$N297="",$N297=0),"",$P297/$N297)</f>
        <v/>
      </c>
      <c r="R297" s="21">
        <f>IF($P297="","",IF($P297&gt;0,"برد",IF($P297&lt;0,"باخت","سر به سر")))</f>
        <v/>
      </c>
      <c r="S297" s="22">
        <f>IF($P297="","",SUM($P$5:$P297))</f>
        <v/>
      </c>
      <c r="T297" s="24">
        <f>IF($R297="باخت",N($T296)+1,0)</f>
        <v/>
      </c>
      <c r="U297" s="22">
        <f>IF($S297="","",$S297-MAX($S$5:$S297))</f>
        <v/>
      </c>
    </row>
    <row r="298">
      <c r="A298" s="14" t="n"/>
      <c r="B298" s="15" t="n"/>
      <c r="C298" s="15" t="n"/>
      <c r="D298" s="15" t="n"/>
      <c r="E298" s="16" t="n"/>
      <c r="F298" s="16" t="n"/>
      <c r="G298" s="16" t="n"/>
      <c r="H298" s="17" t="n"/>
      <c r="I298" s="18" t="n"/>
      <c r="J298" s="18" t="n"/>
      <c r="K298" s="19" t="n"/>
      <c r="L298" s="20">
        <f>IF($B298="","",IFERROR(VLOOKUP($B298,'تنظیمات'!$A$4:$C$43,2,FALSE),1))</f>
        <v/>
      </c>
      <c r="M298" s="21">
        <f>IF($B298="","",IFERROR(VLOOKUP($B298,'تنظیمات'!$A$4:$C$43,3,FALSE),"USD"))</f>
        <v/>
      </c>
      <c r="N298" s="22">
        <f>IF(OR($E298="",$F298="",$H298="",$L298=""),"",ABS($E298-$F298)*$H298*IF($M298="BASE",$L298/$E298,$L298))</f>
        <v/>
      </c>
      <c r="O298" s="22">
        <f>IF($J298&lt;&gt;"",$J298,IF(OR($E298="",$G298="",$H298="",$L298=""),"",($G298-$E298)*IF($C298="فروش",-1,1)*$H298*IF($M298="BASE",$L298/$G298,$L298)))</f>
        <v/>
      </c>
      <c r="P298" s="22">
        <f>IF($O298="","",$O298-N($I298))</f>
        <v/>
      </c>
      <c r="Q298" s="23">
        <f>IF(OR($P298="",$N298="",$N298=0),"",$P298/$N298)</f>
        <v/>
      </c>
      <c r="R298" s="21">
        <f>IF($P298="","",IF($P298&gt;0,"برد",IF($P298&lt;0,"باخت","سر به سر")))</f>
        <v/>
      </c>
      <c r="S298" s="22">
        <f>IF($P298="","",SUM($P$5:$P298))</f>
        <v/>
      </c>
      <c r="T298" s="24">
        <f>IF($R298="باخت",N($T297)+1,0)</f>
        <v/>
      </c>
      <c r="U298" s="22">
        <f>IF($S298="","",$S298-MAX($S$5:$S298))</f>
        <v/>
      </c>
    </row>
    <row r="299">
      <c r="A299" s="14" t="n"/>
      <c r="B299" s="15" t="n"/>
      <c r="C299" s="15" t="n"/>
      <c r="D299" s="15" t="n"/>
      <c r="E299" s="16" t="n"/>
      <c r="F299" s="16" t="n"/>
      <c r="G299" s="16" t="n"/>
      <c r="H299" s="17" t="n"/>
      <c r="I299" s="18" t="n"/>
      <c r="J299" s="18" t="n"/>
      <c r="K299" s="19" t="n"/>
      <c r="L299" s="20">
        <f>IF($B299="","",IFERROR(VLOOKUP($B299,'تنظیمات'!$A$4:$C$43,2,FALSE),1))</f>
        <v/>
      </c>
      <c r="M299" s="21">
        <f>IF($B299="","",IFERROR(VLOOKUP($B299,'تنظیمات'!$A$4:$C$43,3,FALSE),"USD"))</f>
        <v/>
      </c>
      <c r="N299" s="22">
        <f>IF(OR($E299="",$F299="",$H299="",$L299=""),"",ABS($E299-$F299)*$H299*IF($M299="BASE",$L299/$E299,$L299))</f>
        <v/>
      </c>
      <c r="O299" s="22">
        <f>IF($J299&lt;&gt;"",$J299,IF(OR($E299="",$G299="",$H299="",$L299=""),"",($G299-$E299)*IF($C299="فروش",-1,1)*$H299*IF($M299="BASE",$L299/$G299,$L299)))</f>
        <v/>
      </c>
      <c r="P299" s="22">
        <f>IF($O299="","",$O299-N($I299))</f>
        <v/>
      </c>
      <c r="Q299" s="23">
        <f>IF(OR($P299="",$N299="",$N299=0),"",$P299/$N299)</f>
        <v/>
      </c>
      <c r="R299" s="21">
        <f>IF($P299="","",IF($P299&gt;0,"برد",IF($P299&lt;0,"باخت","سر به سر")))</f>
        <v/>
      </c>
      <c r="S299" s="22">
        <f>IF($P299="","",SUM($P$5:$P299))</f>
        <v/>
      </c>
      <c r="T299" s="24">
        <f>IF($R299="باخت",N($T298)+1,0)</f>
        <v/>
      </c>
      <c r="U299" s="22">
        <f>IF($S299="","",$S299-MAX($S$5:$S299))</f>
        <v/>
      </c>
    </row>
    <row r="300">
      <c r="A300" s="14" t="n"/>
      <c r="B300" s="15" t="n"/>
      <c r="C300" s="15" t="n"/>
      <c r="D300" s="15" t="n"/>
      <c r="E300" s="16" t="n"/>
      <c r="F300" s="16" t="n"/>
      <c r="G300" s="16" t="n"/>
      <c r="H300" s="17" t="n"/>
      <c r="I300" s="18" t="n"/>
      <c r="J300" s="18" t="n"/>
      <c r="K300" s="19" t="n"/>
      <c r="L300" s="20">
        <f>IF($B300="","",IFERROR(VLOOKUP($B300,'تنظیمات'!$A$4:$C$43,2,FALSE),1))</f>
        <v/>
      </c>
      <c r="M300" s="21">
        <f>IF($B300="","",IFERROR(VLOOKUP($B300,'تنظیمات'!$A$4:$C$43,3,FALSE),"USD"))</f>
        <v/>
      </c>
      <c r="N300" s="22">
        <f>IF(OR($E300="",$F300="",$H300="",$L300=""),"",ABS($E300-$F300)*$H300*IF($M300="BASE",$L300/$E300,$L300))</f>
        <v/>
      </c>
      <c r="O300" s="22">
        <f>IF($J300&lt;&gt;"",$J300,IF(OR($E300="",$G300="",$H300="",$L300=""),"",($G300-$E300)*IF($C300="فروش",-1,1)*$H300*IF($M300="BASE",$L300/$G300,$L300)))</f>
        <v/>
      </c>
      <c r="P300" s="22">
        <f>IF($O300="","",$O300-N($I300))</f>
        <v/>
      </c>
      <c r="Q300" s="23">
        <f>IF(OR($P300="",$N300="",$N300=0),"",$P300/$N300)</f>
        <v/>
      </c>
      <c r="R300" s="21">
        <f>IF($P300="","",IF($P300&gt;0,"برد",IF($P300&lt;0,"باخت","سر به سر")))</f>
        <v/>
      </c>
      <c r="S300" s="22">
        <f>IF($P300="","",SUM($P$5:$P300))</f>
        <v/>
      </c>
      <c r="T300" s="24">
        <f>IF($R300="باخت",N($T299)+1,0)</f>
        <v/>
      </c>
      <c r="U300" s="22">
        <f>IF($S300="","",$S300-MAX($S$5:$S300))</f>
        <v/>
      </c>
    </row>
    <row r="301">
      <c r="A301" s="14" t="n"/>
      <c r="B301" s="15" t="n"/>
      <c r="C301" s="15" t="n"/>
      <c r="D301" s="15" t="n"/>
      <c r="E301" s="16" t="n"/>
      <c r="F301" s="16" t="n"/>
      <c r="G301" s="16" t="n"/>
      <c r="H301" s="17" t="n"/>
      <c r="I301" s="18" t="n"/>
      <c r="J301" s="18" t="n"/>
      <c r="K301" s="19" t="n"/>
      <c r="L301" s="20">
        <f>IF($B301="","",IFERROR(VLOOKUP($B301,'تنظیمات'!$A$4:$C$43,2,FALSE),1))</f>
        <v/>
      </c>
      <c r="M301" s="21">
        <f>IF($B301="","",IFERROR(VLOOKUP($B301,'تنظیمات'!$A$4:$C$43,3,FALSE),"USD"))</f>
        <v/>
      </c>
      <c r="N301" s="22">
        <f>IF(OR($E301="",$F301="",$H301="",$L301=""),"",ABS($E301-$F301)*$H301*IF($M301="BASE",$L301/$E301,$L301))</f>
        <v/>
      </c>
      <c r="O301" s="22">
        <f>IF($J301&lt;&gt;"",$J301,IF(OR($E301="",$G301="",$H301="",$L301=""),"",($G301-$E301)*IF($C301="فروش",-1,1)*$H301*IF($M301="BASE",$L301/$G301,$L301)))</f>
        <v/>
      </c>
      <c r="P301" s="22">
        <f>IF($O301="","",$O301-N($I301))</f>
        <v/>
      </c>
      <c r="Q301" s="23">
        <f>IF(OR($P301="",$N301="",$N301=0),"",$P301/$N301)</f>
        <v/>
      </c>
      <c r="R301" s="21">
        <f>IF($P301="","",IF($P301&gt;0,"برد",IF($P301&lt;0,"باخت","سر به سر")))</f>
        <v/>
      </c>
      <c r="S301" s="22">
        <f>IF($P301="","",SUM($P$5:$P301))</f>
        <v/>
      </c>
      <c r="T301" s="24">
        <f>IF($R301="باخت",N($T300)+1,0)</f>
        <v/>
      </c>
      <c r="U301" s="22">
        <f>IF($S301="","",$S301-MAX($S$5:$S301))</f>
        <v/>
      </c>
    </row>
    <row r="302">
      <c r="A302" s="14" t="n"/>
      <c r="B302" s="15" t="n"/>
      <c r="C302" s="15" t="n"/>
      <c r="D302" s="15" t="n"/>
      <c r="E302" s="16" t="n"/>
      <c r="F302" s="16" t="n"/>
      <c r="G302" s="16" t="n"/>
      <c r="H302" s="17" t="n"/>
      <c r="I302" s="18" t="n"/>
      <c r="J302" s="18" t="n"/>
      <c r="K302" s="19" t="n"/>
      <c r="L302" s="20">
        <f>IF($B302="","",IFERROR(VLOOKUP($B302,'تنظیمات'!$A$4:$C$43,2,FALSE),1))</f>
        <v/>
      </c>
      <c r="M302" s="21">
        <f>IF($B302="","",IFERROR(VLOOKUP($B302,'تنظیمات'!$A$4:$C$43,3,FALSE),"USD"))</f>
        <v/>
      </c>
      <c r="N302" s="22">
        <f>IF(OR($E302="",$F302="",$H302="",$L302=""),"",ABS($E302-$F302)*$H302*IF($M302="BASE",$L302/$E302,$L302))</f>
        <v/>
      </c>
      <c r="O302" s="22">
        <f>IF($J302&lt;&gt;"",$J302,IF(OR($E302="",$G302="",$H302="",$L302=""),"",($G302-$E302)*IF($C302="فروش",-1,1)*$H302*IF($M302="BASE",$L302/$G302,$L302)))</f>
        <v/>
      </c>
      <c r="P302" s="22">
        <f>IF($O302="","",$O302-N($I302))</f>
        <v/>
      </c>
      <c r="Q302" s="23">
        <f>IF(OR($P302="",$N302="",$N302=0),"",$P302/$N302)</f>
        <v/>
      </c>
      <c r="R302" s="21">
        <f>IF($P302="","",IF($P302&gt;0,"برد",IF($P302&lt;0,"باخت","سر به سر")))</f>
        <v/>
      </c>
      <c r="S302" s="22">
        <f>IF($P302="","",SUM($P$5:$P302))</f>
        <v/>
      </c>
      <c r="T302" s="24">
        <f>IF($R302="باخت",N($T301)+1,0)</f>
        <v/>
      </c>
      <c r="U302" s="22">
        <f>IF($S302="","",$S302-MAX($S$5:$S302))</f>
        <v/>
      </c>
    </row>
    <row r="303">
      <c r="A303" s="14" t="n"/>
      <c r="B303" s="15" t="n"/>
      <c r="C303" s="15" t="n"/>
      <c r="D303" s="15" t="n"/>
      <c r="E303" s="16" t="n"/>
      <c r="F303" s="16" t="n"/>
      <c r="G303" s="16" t="n"/>
      <c r="H303" s="17" t="n"/>
      <c r="I303" s="18" t="n"/>
      <c r="J303" s="18" t="n"/>
      <c r="K303" s="19" t="n"/>
      <c r="L303" s="20">
        <f>IF($B303="","",IFERROR(VLOOKUP($B303,'تنظیمات'!$A$4:$C$43,2,FALSE),1))</f>
        <v/>
      </c>
      <c r="M303" s="21">
        <f>IF($B303="","",IFERROR(VLOOKUP($B303,'تنظیمات'!$A$4:$C$43,3,FALSE),"USD"))</f>
        <v/>
      </c>
      <c r="N303" s="22">
        <f>IF(OR($E303="",$F303="",$H303="",$L303=""),"",ABS($E303-$F303)*$H303*IF($M303="BASE",$L303/$E303,$L303))</f>
        <v/>
      </c>
      <c r="O303" s="22">
        <f>IF($J303&lt;&gt;"",$J303,IF(OR($E303="",$G303="",$H303="",$L303=""),"",($G303-$E303)*IF($C303="فروش",-1,1)*$H303*IF($M303="BASE",$L303/$G303,$L303)))</f>
        <v/>
      </c>
      <c r="P303" s="22">
        <f>IF($O303="","",$O303-N($I303))</f>
        <v/>
      </c>
      <c r="Q303" s="23">
        <f>IF(OR($P303="",$N303="",$N303=0),"",$P303/$N303)</f>
        <v/>
      </c>
      <c r="R303" s="21">
        <f>IF($P303="","",IF($P303&gt;0,"برد",IF($P303&lt;0,"باخت","سر به سر")))</f>
        <v/>
      </c>
      <c r="S303" s="22">
        <f>IF($P303="","",SUM($P$5:$P303))</f>
        <v/>
      </c>
      <c r="T303" s="24">
        <f>IF($R303="باخت",N($T302)+1,0)</f>
        <v/>
      </c>
      <c r="U303" s="22">
        <f>IF($S303="","",$S303-MAX($S$5:$S303))</f>
        <v/>
      </c>
    </row>
    <row r="304">
      <c r="A304" s="14" t="n"/>
      <c r="B304" s="15" t="n"/>
      <c r="C304" s="15" t="n"/>
      <c r="D304" s="15" t="n"/>
      <c r="E304" s="16" t="n"/>
      <c r="F304" s="16" t="n"/>
      <c r="G304" s="16" t="n"/>
      <c r="H304" s="17" t="n"/>
      <c r="I304" s="18" t="n"/>
      <c r="J304" s="18" t="n"/>
      <c r="K304" s="19" t="n"/>
      <c r="L304" s="20">
        <f>IF($B304="","",IFERROR(VLOOKUP($B304,'تنظیمات'!$A$4:$C$43,2,FALSE),1))</f>
        <v/>
      </c>
      <c r="M304" s="21">
        <f>IF($B304="","",IFERROR(VLOOKUP($B304,'تنظیمات'!$A$4:$C$43,3,FALSE),"USD"))</f>
        <v/>
      </c>
      <c r="N304" s="22">
        <f>IF(OR($E304="",$F304="",$H304="",$L304=""),"",ABS($E304-$F304)*$H304*IF($M304="BASE",$L304/$E304,$L304))</f>
        <v/>
      </c>
      <c r="O304" s="22">
        <f>IF($J304&lt;&gt;"",$J304,IF(OR($E304="",$G304="",$H304="",$L304=""),"",($G304-$E304)*IF($C304="فروش",-1,1)*$H304*IF($M304="BASE",$L304/$G304,$L304)))</f>
        <v/>
      </c>
      <c r="P304" s="22">
        <f>IF($O304="","",$O304-N($I304))</f>
        <v/>
      </c>
      <c r="Q304" s="23">
        <f>IF(OR($P304="",$N304="",$N304=0),"",$P304/$N304)</f>
        <v/>
      </c>
      <c r="R304" s="21">
        <f>IF($P304="","",IF($P304&gt;0,"برد",IF($P304&lt;0,"باخت","سر به سر")))</f>
        <v/>
      </c>
      <c r="S304" s="22">
        <f>IF($P304="","",SUM($P$5:$P304))</f>
        <v/>
      </c>
      <c r="T304" s="24">
        <f>IF($R304="باخت",N($T303)+1,0)</f>
        <v/>
      </c>
      <c r="U304" s="22">
        <f>IF($S304="","",$S304-MAX($S$5:$S304))</f>
        <v/>
      </c>
    </row>
    <row r="305">
      <c r="A305" s="14" t="n"/>
      <c r="B305" s="15" t="n"/>
      <c r="C305" s="15" t="n"/>
      <c r="D305" s="15" t="n"/>
      <c r="E305" s="16" t="n"/>
      <c r="F305" s="16" t="n"/>
      <c r="G305" s="16" t="n"/>
      <c r="H305" s="17" t="n"/>
      <c r="I305" s="18" t="n"/>
      <c r="J305" s="18" t="n"/>
      <c r="K305" s="19" t="n"/>
      <c r="L305" s="20">
        <f>IF($B305="","",IFERROR(VLOOKUP($B305,'تنظیمات'!$A$4:$C$43,2,FALSE),1))</f>
        <v/>
      </c>
      <c r="M305" s="21">
        <f>IF($B305="","",IFERROR(VLOOKUP($B305,'تنظیمات'!$A$4:$C$43,3,FALSE),"USD"))</f>
        <v/>
      </c>
      <c r="N305" s="22">
        <f>IF(OR($E305="",$F305="",$H305="",$L305=""),"",ABS($E305-$F305)*$H305*IF($M305="BASE",$L305/$E305,$L305))</f>
        <v/>
      </c>
      <c r="O305" s="22">
        <f>IF($J305&lt;&gt;"",$J305,IF(OR($E305="",$G305="",$H305="",$L305=""),"",($G305-$E305)*IF($C305="فروش",-1,1)*$H305*IF($M305="BASE",$L305/$G305,$L305)))</f>
        <v/>
      </c>
      <c r="P305" s="22">
        <f>IF($O305="","",$O305-N($I305))</f>
        <v/>
      </c>
      <c r="Q305" s="23">
        <f>IF(OR($P305="",$N305="",$N305=0),"",$P305/$N305)</f>
        <v/>
      </c>
      <c r="R305" s="21">
        <f>IF($P305="","",IF($P305&gt;0,"برد",IF($P305&lt;0,"باخت","سر به سر")))</f>
        <v/>
      </c>
      <c r="S305" s="22">
        <f>IF($P305="","",SUM($P$5:$P305))</f>
        <v/>
      </c>
      <c r="T305" s="24">
        <f>IF($R305="باخت",N($T304)+1,0)</f>
        <v/>
      </c>
      <c r="U305" s="22">
        <f>IF($S305="","",$S305-MAX($S$5:$S305))</f>
        <v/>
      </c>
    </row>
    <row r="306">
      <c r="A306" s="14" t="n"/>
      <c r="B306" s="15" t="n"/>
      <c r="C306" s="15" t="n"/>
      <c r="D306" s="15" t="n"/>
      <c r="E306" s="16" t="n"/>
      <c r="F306" s="16" t="n"/>
      <c r="G306" s="16" t="n"/>
      <c r="H306" s="17" t="n"/>
      <c r="I306" s="18" t="n"/>
      <c r="J306" s="18" t="n"/>
      <c r="K306" s="19" t="n"/>
      <c r="L306" s="20">
        <f>IF($B306="","",IFERROR(VLOOKUP($B306,'تنظیمات'!$A$4:$C$43,2,FALSE),1))</f>
        <v/>
      </c>
      <c r="M306" s="21">
        <f>IF($B306="","",IFERROR(VLOOKUP($B306,'تنظیمات'!$A$4:$C$43,3,FALSE),"USD"))</f>
        <v/>
      </c>
      <c r="N306" s="22">
        <f>IF(OR($E306="",$F306="",$H306="",$L306=""),"",ABS($E306-$F306)*$H306*IF($M306="BASE",$L306/$E306,$L306))</f>
        <v/>
      </c>
      <c r="O306" s="22">
        <f>IF($J306&lt;&gt;"",$J306,IF(OR($E306="",$G306="",$H306="",$L306=""),"",($G306-$E306)*IF($C306="فروش",-1,1)*$H306*IF($M306="BASE",$L306/$G306,$L306)))</f>
        <v/>
      </c>
      <c r="P306" s="22">
        <f>IF($O306="","",$O306-N($I306))</f>
        <v/>
      </c>
      <c r="Q306" s="23">
        <f>IF(OR($P306="",$N306="",$N306=0),"",$P306/$N306)</f>
        <v/>
      </c>
      <c r="R306" s="21">
        <f>IF($P306="","",IF($P306&gt;0,"برد",IF($P306&lt;0,"باخت","سر به سر")))</f>
        <v/>
      </c>
      <c r="S306" s="22">
        <f>IF($P306="","",SUM($P$5:$P306))</f>
        <v/>
      </c>
      <c r="T306" s="24">
        <f>IF($R306="باخت",N($T305)+1,0)</f>
        <v/>
      </c>
      <c r="U306" s="22">
        <f>IF($S306="","",$S306-MAX($S$5:$S306))</f>
        <v/>
      </c>
    </row>
    <row r="307">
      <c r="A307" s="14" t="n"/>
      <c r="B307" s="15" t="n"/>
      <c r="C307" s="15" t="n"/>
      <c r="D307" s="15" t="n"/>
      <c r="E307" s="16" t="n"/>
      <c r="F307" s="16" t="n"/>
      <c r="G307" s="16" t="n"/>
      <c r="H307" s="17" t="n"/>
      <c r="I307" s="18" t="n"/>
      <c r="J307" s="18" t="n"/>
      <c r="K307" s="19" t="n"/>
      <c r="L307" s="20">
        <f>IF($B307="","",IFERROR(VLOOKUP($B307,'تنظیمات'!$A$4:$C$43,2,FALSE),1))</f>
        <v/>
      </c>
      <c r="M307" s="21">
        <f>IF($B307="","",IFERROR(VLOOKUP($B307,'تنظیمات'!$A$4:$C$43,3,FALSE),"USD"))</f>
        <v/>
      </c>
      <c r="N307" s="22">
        <f>IF(OR($E307="",$F307="",$H307="",$L307=""),"",ABS($E307-$F307)*$H307*IF($M307="BASE",$L307/$E307,$L307))</f>
        <v/>
      </c>
      <c r="O307" s="22">
        <f>IF($J307&lt;&gt;"",$J307,IF(OR($E307="",$G307="",$H307="",$L307=""),"",($G307-$E307)*IF($C307="فروش",-1,1)*$H307*IF($M307="BASE",$L307/$G307,$L307)))</f>
        <v/>
      </c>
      <c r="P307" s="22">
        <f>IF($O307="","",$O307-N($I307))</f>
        <v/>
      </c>
      <c r="Q307" s="23">
        <f>IF(OR($P307="",$N307="",$N307=0),"",$P307/$N307)</f>
        <v/>
      </c>
      <c r="R307" s="21">
        <f>IF($P307="","",IF($P307&gt;0,"برد",IF($P307&lt;0,"باخت","سر به سر")))</f>
        <v/>
      </c>
      <c r="S307" s="22">
        <f>IF($P307="","",SUM($P$5:$P307))</f>
        <v/>
      </c>
      <c r="T307" s="24">
        <f>IF($R307="باخت",N($T306)+1,0)</f>
        <v/>
      </c>
      <c r="U307" s="22">
        <f>IF($S307="","",$S307-MAX($S$5:$S307))</f>
        <v/>
      </c>
    </row>
    <row r="308">
      <c r="A308" s="14" t="n"/>
      <c r="B308" s="15" t="n"/>
      <c r="C308" s="15" t="n"/>
      <c r="D308" s="15" t="n"/>
      <c r="E308" s="16" t="n"/>
      <c r="F308" s="16" t="n"/>
      <c r="G308" s="16" t="n"/>
      <c r="H308" s="17" t="n"/>
      <c r="I308" s="18" t="n"/>
      <c r="J308" s="18" t="n"/>
      <c r="K308" s="19" t="n"/>
      <c r="L308" s="20">
        <f>IF($B308="","",IFERROR(VLOOKUP($B308,'تنظیمات'!$A$4:$C$43,2,FALSE),1))</f>
        <v/>
      </c>
      <c r="M308" s="21">
        <f>IF($B308="","",IFERROR(VLOOKUP($B308,'تنظیمات'!$A$4:$C$43,3,FALSE),"USD"))</f>
        <v/>
      </c>
      <c r="N308" s="22">
        <f>IF(OR($E308="",$F308="",$H308="",$L308=""),"",ABS($E308-$F308)*$H308*IF($M308="BASE",$L308/$E308,$L308))</f>
        <v/>
      </c>
      <c r="O308" s="22">
        <f>IF($J308&lt;&gt;"",$J308,IF(OR($E308="",$G308="",$H308="",$L308=""),"",($G308-$E308)*IF($C308="فروش",-1,1)*$H308*IF($M308="BASE",$L308/$G308,$L308)))</f>
        <v/>
      </c>
      <c r="P308" s="22">
        <f>IF($O308="","",$O308-N($I308))</f>
        <v/>
      </c>
      <c r="Q308" s="23">
        <f>IF(OR($P308="",$N308="",$N308=0),"",$P308/$N308)</f>
        <v/>
      </c>
      <c r="R308" s="21">
        <f>IF($P308="","",IF($P308&gt;0,"برد",IF($P308&lt;0,"باخت","سر به سر")))</f>
        <v/>
      </c>
      <c r="S308" s="22">
        <f>IF($P308="","",SUM($P$5:$P308))</f>
        <v/>
      </c>
      <c r="T308" s="24">
        <f>IF($R308="باخت",N($T307)+1,0)</f>
        <v/>
      </c>
      <c r="U308" s="22">
        <f>IF($S308="","",$S308-MAX($S$5:$S308))</f>
        <v/>
      </c>
    </row>
    <row r="309">
      <c r="A309" s="14" t="n"/>
      <c r="B309" s="15" t="n"/>
      <c r="C309" s="15" t="n"/>
      <c r="D309" s="15" t="n"/>
      <c r="E309" s="16" t="n"/>
      <c r="F309" s="16" t="n"/>
      <c r="G309" s="16" t="n"/>
      <c r="H309" s="17" t="n"/>
      <c r="I309" s="18" t="n"/>
      <c r="J309" s="18" t="n"/>
      <c r="K309" s="19" t="n"/>
      <c r="L309" s="20">
        <f>IF($B309="","",IFERROR(VLOOKUP($B309,'تنظیمات'!$A$4:$C$43,2,FALSE),1))</f>
        <v/>
      </c>
      <c r="M309" s="21">
        <f>IF($B309="","",IFERROR(VLOOKUP($B309,'تنظیمات'!$A$4:$C$43,3,FALSE),"USD"))</f>
        <v/>
      </c>
      <c r="N309" s="22">
        <f>IF(OR($E309="",$F309="",$H309="",$L309=""),"",ABS($E309-$F309)*$H309*IF($M309="BASE",$L309/$E309,$L309))</f>
        <v/>
      </c>
      <c r="O309" s="22">
        <f>IF($J309&lt;&gt;"",$J309,IF(OR($E309="",$G309="",$H309="",$L309=""),"",($G309-$E309)*IF($C309="فروش",-1,1)*$H309*IF($M309="BASE",$L309/$G309,$L309)))</f>
        <v/>
      </c>
      <c r="P309" s="22">
        <f>IF($O309="","",$O309-N($I309))</f>
        <v/>
      </c>
      <c r="Q309" s="23">
        <f>IF(OR($P309="",$N309="",$N309=0),"",$P309/$N309)</f>
        <v/>
      </c>
      <c r="R309" s="21">
        <f>IF($P309="","",IF($P309&gt;0,"برد",IF($P309&lt;0,"باخت","سر به سر")))</f>
        <v/>
      </c>
      <c r="S309" s="22">
        <f>IF($P309="","",SUM($P$5:$P309))</f>
        <v/>
      </c>
      <c r="T309" s="24">
        <f>IF($R309="باخت",N($T308)+1,0)</f>
        <v/>
      </c>
      <c r="U309" s="22">
        <f>IF($S309="","",$S309-MAX($S$5:$S309))</f>
        <v/>
      </c>
    </row>
    <row r="310">
      <c r="A310" s="14" t="n"/>
      <c r="B310" s="15" t="n"/>
      <c r="C310" s="15" t="n"/>
      <c r="D310" s="15" t="n"/>
      <c r="E310" s="16" t="n"/>
      <c r="F310" s="16" t="n"/>
      <c r="G310" s="16" t="n"/>
      <c r="H310" s="17" t="n"/>
      <c r="I310" s="18" t="n"/>
      <c r="J310" s="18" t="n"/>
      <c r="K310" s="19" t="n"/>
      <c r="L310" s="20">
        <f>IF($B310="","",IFERROR(VLOOKUP($B310,'تنظیمات'!$A$4:$C$43,2,FALSE),1))</f>
        <v/>
      </c>
      <c r="M310" s="21">
        <f>IF($B310="","",IFERROR(VLOOKUP($B310,'تنظیمات'!$A$4:$C$43,3,FALSE),"USD"))</f>
        <v/>
      </c>
      <c r="N310" s="22">
        <f>IF(OR($E310="",$F310="",$H310="",$L310=""),"",ABS($E310-$F310)*$H310*IF($M310="BASE",$L310/$E310,$L310))</f>
        <v/>
      </c>
      <c r="O310" s="22">
        <f>IF($J310&lt;&gt;"",$J310,IF(OR($E310="",$G310="",$H310="",$L310=""),"",($G310-$E310)*IF($C310="فروش",-1,1)*$H310*IF($M310="BASE",$L310/$G310,$L310)))</f>
        <v/>
      </c>
      <c r="P310" s="22">
        <f>IF($O310="","",$O310-N($I310))</f>
        <v/>
      </c>
      <c r="Q310" s="23">
        <f>IF(OR($P310="",$N310="",$N310=0),"",$P310/$N310)</f>
        <v/>
      </c>
      <c r="R310" s="21">
        <f>IF($P310="","",IF($P310&gt;0,"برد",IF($P310&lt;0,"باخت","سر به سر")))</f>
        <v/>
      </c>
      <c r="S310" s="22">
        <f>IF($P310="","",SUM($P$5:$P310))</f>
        <v/>
      </c>
      <c r="T310" s="24">
        <f>IF($R310="باخت",N($T309)+1,0)</f>
        <v/>
      </c>
      <c r="U310" s="22">
        <f>IF($S310="","",$S310-MAX($S$5:$S310))</f>
        <v/>
      </c>
    </row>
    <row r="311">
      <c r="A311" s="14" t="n"/>
      <c r="B311" s="15" t="n"/>
      <c r="C311" s="15" t="n"/>
      <c r="D311" s="15" t="n"/>
      <c r="E311" s="16" t="n"/>
      <c r="F311" s="16" t="n"/>
      <c r="G311" s="16" t="n"/>
      <c r="H311" s="17" t="n"/>
      <c r="I311" s="18" t="n"/>
      <c r="J311" s="18" t="n"/>
      <c r="K311" s="19" t="n"/>
      <c r="L311" s="20">
        <f>IF($B311="","",IFERROR(VLOOKUP($B311,'تنظیمات'!$A$4:$C$43,2,FALSE),1))</f>
        <v/>
      </c>
      <c r="M311" s="21">
        <f>IF($B311="","",IFERROR(VLOOKUP($B311,'تنظیمات'!$A$4:$C$43,3,FALSE),"USD"))</f>
        <v/>
      </c>
      <c r="N311" s="22">
        <f>IF(OR($E311="",$F311="",$H311="",$L311=""),"",ABS($E311-$F311)*$H311*IF($M311="BASE",$L311/$E311,$L311))</f>
        <v/>
      </c>
      <c r="O311" s="22">
        <f>IF($J311&lt;&gt;"",$J311,IF(OR($E311="",$G311="",$H311="",$L311=""),"",($G311-$E311)*IF($C311="فروش",-1,1)*$H311*IF($M311="BASE",$L311/$G311,$L311)))</f>
        <v/>
      </c>
      <c r="P311" s="22">
        <f>IF($O311="","",$O311-N($I311))</f>
        <v/>
      </c>
      <c r="Q311" s="23">
        <f>IF(OR($P311="",$N311="",$N311=0),"",$P311/$N311)</f>
        <v/>
      </c>
      <c r="R311" s="21">
        <f>IF($P311="","",IF($P311&gt;0,"برد",IF($P311&lt;0,"باخت","سر به سر")))</f>
        <v/>
      </c>
      <c r="S311" s="22">
        <f>IF($P311="","",SUM($P$5:$P311))</f>
        <v/>
      </c>
      <c r="T311" s="24">
        <f>IF($R311="باخت",N($T310)+1,0)</f>
        <v/>
      </c>
      <c r="U311" s="22">
        <f>IF($S311="","",$S311-MAX($S$5:$S311))</f>
        <v/>
      </c>
    </row>
    <row r="312">
      <c r="A312" s="14" t="n"/>
      <c r="B312" s="15" t="n"/>
      <c r="C312" s="15" t="n"/>
      <c r="D312" s="15" t="n"/>
      <c r="E312" s="16" t="n"/>
      <c r="F312" s="16" t="n"/>
      <c r="G312" s="16" t="n"/>
      <c r="H312" s="17" t="n"/>
      <c r="I312" s="18" t="n"/>
      <c r="J312" s="18" t="n"/>
      <c r="K312" s="19" t="n"/>
      <c r="L312" s="20">
        <f>IF($B312="","",IFERROR(VLOOKUP($B312,'تنظیمات'!$A$4:$C$43,2,FALSE),1))</f>
        <v/>
      </c>
      <c r="M312" s="21">
        <f>IF($B312="","",IFERROR(VLOOKUP($B312,'تنظیمات'!$A$4:$C$43,3,FALSE),"USD"))</f>
        <v/>
      </c>
      <c r="N312" s="22">
        <f>IF(OR($E312="",$F312="",$H312="",$L312=""),"",ABS($E312-$F312)*$H312*IF($M312="BASE",$L312/$E312,$L312))</f>
        <v/>
      </c>
      <c r="O312" s="22">
        <f>IF($J312&lt;&gt;"",$J312,IF(OR($E312="",$G312="",$H312="",$L312=""),"",($G312-$E312)*IF($C312="فروش",-1,1)*$H312*IF($M312="BASE",$L312/$G312,$L312)))</f>
        <v/>
      </c>
      <c r="P312" s="22">
        <f>IF($O312="","",$O312-N($I312))</f>
        <v/>
      </c>
      <c r="Q312" s="23">
        <f>IF(OR($P312="",$N312="",$N312=0),"",$P312/$N312)</f>
        <v/>
      </c>
      <c r="R312" s="21">
        <f>IF($P312="","",IF($P312&gt;0,"برد",IF($P312&lt;0,"باخت","سر به سر")))</f>
        <v/>
      </c>
      <c r="S312" s="22">
        <f>IF($P312="","",SUM($P$5:$P312))</f>
        <v/>
      </c>
      <c r="T312" s="24">
        <f>IF($R312="باخت",N($T311)+1,0)</f>
        <v/>
      </c>
      <c r="U312" s="22">
        <f>IF($S312="","",$S312-MAX($S$5:$S312))</f>
        <v/>
      </c>
    </row>
    <row r="313">
      <c r="A313" s="14" t="n"/>
      <c r="B313" s="15" t="n"/>
      <c r="C313" s="15" t="n"/>
      <c r="D313" s="15" t="n"/>
      <c r="E313" s="16" t="n"/>
      <c r="F313" s="16" t="n"/>
      <c r="G313" s="16" t="n"/>
      <c r="H313" s="17" t="n"/>
      <c r="I313" s="18" t="n"/>
      <c r="J313" s="18" t="n"/>
      <c r="K313" s="19" t="n"/>
      <c r="L313" s="20">
        <f>IF($B313="","",IFERROR(VLOOKUP($B313,'تنظیمات'!$A$4:$C$43,2,FALSE),1))</f>
        <v/>
      </c>
      <c r="M313" s="21">
        <f>IF($B313="","",IFERROR(VLOOKUP($B313,'تنظیمات'!$A$4:$C$43,3,FALSE),"USD"))</f>
        <v/>
      </c>
      <c r="N313" s="22">
        <f>IF(OR($E313="",$F313="",$H313="",$L313=""),"",ABS($E313-$F313)*$H313*IF($M313="BASE",$L313/$E313,$L313))</f>
        <v/>
      </c>
      <c r="O313" s="22">
        <f>IF($J313&lt;&gt;"",$J313,IF(OR($E313="",$G313="",$H313="",$L313=""),"",($G313-$E313)*IF($C313="فروش",-1,1)*$H313*IF($M313="BASE",$L313/$G313,$L313)))</f>
        <v/>
      </c>
      <c r="P313" s="22">
        <f>IF($O313="","",$O313-N($I313))</f>
        <v/>
      </c>
      <c r="Q313" s="23">
        <f>IF(OR($P313="",$N313="",$N313=0),"",$P313/$N313)</f>
        <v/>
      </c>
      <c r="R313" s="21">
        <f>IF($P313="","",IF($P313&gt;0,"برد",IF($P313&lt;0,"باخت","سر به سر")))</f>
        <v/>
      </c>
      <c r="S313" s="22">
        <f>IF($P313="","",SUM($P$5:$P313))</f>
        <v/>
      </c>
      <c r="T313" s="24">
        <f>IF($R313="باخت",N($T312)+1,0)</f>
        <v/>
      </c>
      <c r="U313" s="22">
        <f>IF($S313="","",$S313-MAX($S$5:$S313))</f>
        <v/>
      </c>
    </row>
    <row r="314">
      <c r="A314" s="14" t="n"/>
      <c r="B314" s="15" t="n"/>
      <c r="C314" s="15" t="n"/>
      <c r="D314" s="15" t="n"/>
      <c r="E314" s="16" t="n"/>
      <c r="F314" s="16" t="n"/>
      <c r="G314" s="16" t="n"/>
      <c r="H314" s="17" t="n"/>
      <c r="I314" s="18" t="n"/>
      <c r="J314" s="18" t="n"/>
      <c r="K314" s="19" t="n"/>
      <c r="L314" s="20">
        <f>IF($B314="","",IFERROR(VLOOKUP($B314,'تنظیمات'!$A$4:$C$43,2,FALSE),1))</f>
        <v/>
      </c>
      <c r="M314" s="21">
        <f>IF($B314="","",IFERROR(VLOOKUP($B314,'تنظیمات'!$A$4:$C$43,3,FALSE),"USD"))</f>
        <v/>
      </c>
      <c r="N314" s="22">
        <f>IF(OR($E314="",$F314="",$H314="",$L314=""),"",ABS($E314-$F314)*$H314*IF($M314="BASE",$L314/$E314,$L314))</f>
        <v/>
      </c>
      <c r="O314" s="22">
        <f>IF($J314&lt;&gt;"",$J314,IF(OR($E314="",$G314="",$H314="",$L314=""),"",($G314-$E314)*IF($C314="فروش",-1,1)*$H314*IF($M314="BASE",$L314/$G314,$L314)))</f>
        <v/>
      </c>
      <c r="P314" s="22">
        <f>IF($O314="","",$O314-N($I314))</f>
        <v/>
      </c>
      <c r="Q314" s="23">
        <f>IF(OR($P314="",$N314="",$N314=0),"",$P314/$N314)</f>
        <v/>
      </c>
      <c r="R314" s="21">
        <f>IF($P314="","",IF($P314&gt;0,"برد",IF($P314&lt;0,"باخت","سر به سر")))</f>
        <v/>
      </c>
      <c r="S314" s="22">
        <f>IF($P314="","",SUM($P$5:$P314))</f>
        <v/>
      </c>
      <c r="T314" s="24">
        <f>IF($R314="باخت",N($T313)+1,0)</f>
        <v/>
      </c>
      <c r="U314" s="22">
        <f>IF($S314="","",$S314-MAX($S$5:$S314))</f>
        <v/>
      </c>
    </row>
    <row r="315">
      <c r="A315" s="14" t="n"/>
      <c r="B315" s="15" t="n"/>
      <c r="C315" s="15" t="n"/>
      <c r="D315" s="15" t="n"/>
      <c r="E315" s="16" t="n"/>
      <c r="F315" s="16" t="n"/>
      <c r="G315" s="16" t="n"/>
      <c r="H315" s="17" t="n"/>
      <c r="I315" s="18" t="n"/>
      <c r="J315" s="18" t="n"/>
      <c r="K315" s="19" t="n"/>
      <c r="L315" s="20">
        <f>IF($B315="","",IFERROR(VLOOKUP($B315,'تنظیمات'!$A$4:$C$43,2,FALSE),1))</f>
        <v/>
      </c>
      <c r="M315" s="21">
        <f>IF($B315="","",IFERROR(VLOOKUP($B315,'تنظیمات'!$A$4:$C$43,3,FALSE),"USD"))</f>
        <v/>
      </c>
      <c r="N315" s="22">
        <f>IF(OR($E315="",$F315="",$H315="",$L315=""),"",ABS($E315-$F315)*$H315*IF($M315="BASE",$L315/$E315,$L315))</f>
        <v/>
      </c>
      <c r="O315" s="22">
        <f>IF($J315&lt;&gt;"",$J315,IF(OR($E315="",$G315="",$H315="",$L315=""),"",($G315-$E315)*IF($C315="فروش",-1,1)*$H315*IF($M315="BASE",$L315/$G315,$L315)))</f>
        <v/>
      </c>
      <c r="P315" s="22">
        <f>IF($O315="","",$O315-N($I315))</f>
        <v/>
      </c>
      <c r="Q315" s="23">
        <f>IF(OR($P315="",$N315="",$N315=0),"",$P315/$N315)</f>
        <v/>
      </c>
      <c r="R315" s="21">
        <f>IF($P315="","",IF($P315&gt;0,"برد",IF($P315&lt;0,"باخت","سر به سر")))</f>
        <v/>
      </c>
      <c r="S315" s="22">
        <f>IF($P315="","",SUM($P$5:$P315))</f>
        <v/>
      </c>
      <c r="T315" s="24">
        <f>IF($R315="باخت",N($T314)+1,0)</f>
        <v/>
      </c>
      <c r="U315" s="22">
        <f>IF($S315="","",$S315-MAX($S$5:$S315))</f>
        <v/>
      </c>
    </row>
    <row r="316">
      <c r="A316" s="14" t="n"/>
      <c r="B316" s="15" t="n"/>
      <c r="C316" s="15" t="n"/>
      <c r="D316" s="15" t="n"/>
      <c r="E316" s="16" t="n"/>
      <c r="F316" s="16" t="n"/>
      <c r="G316" s="16" t="n"/>
      <c r="H316" s="17" t="n"/>
      <c r="I316" s="18" t="n"/>
      <c r="J316" s="18" t="n"/>
      <c r="K316" s="19" t="n"/>
      <c r="L316" s="20">
        <f>IF($B316="","",IFERROR(VLOOKUP($B316,'تنظیمات'!$A$4:$C$43,2,FALSE),1))</f>
        <v/>
      </c>
      <c r="M316" s="21">
        <f>IF($B316="","",IFERROR(VLOOKUP($B316,'تنظیمات'!$A$4:$C$43,3,FALSE),"USD"))</f>
        <v/>
      </c>
      <c r="N316" s="22">
        <f>IF(OR($E316="",$F316="",$H316="",$L316=""),"",ABS($E316-$F316)*$H316*IF($M316="BASE",$L316/$E316,$L316))</f>
        <v/>
      </c>
      <c r="O316" s="22">
        <f>IF($J316&lt;&gt;"",$J316,IF(OR($E316="",$G316="",$H316="",$L316=""),"",($G316-$E316)*IF($C316="فروش",-1,1)*$H316*IF($M316="BASE",$L316/$G316,$L316)))</f>
        <v/>
      </c>
      <c r="P316" s="22">
        <f>IF($O316="","",$O316-N($I316))</f>
        <v/>
      </c>
      <c r="Q316" s="23">
        <f>IF(OR($P316="",$N316="",$N316=0),"",$P316/$N316)</f>
        <v/>
      </c>
      <c r="R316" s="21">
        <f>IF($P316="","",IF($P316&gt;0,"برد",IF($P316&lt;0,"باخت","سر به سر")))</f>
        <v/>
      </c>
      <c r="S316" s="22">
        <f>IF($P316="","",SUM($P$5:$P316))</f>
        <v/>
      </c>
      <c r="T316" s="24">
        <f>IF($R316="باخت",N($T315)+1,0)</f>
        <v/>
      </c>
      <c r="U316" s="22">
        <f>IF($S316="","",$S316-MAX($S$5:$S316))</f>
        <v/>
      </c>
    </row>
    <row r="317">
      <c r="A317" s="14" t="n"/>
      <c r="B317" s="15" t="n"/>
      <c r="C317" s="15" t="n"/>
      <c r="D317" s="15" t="n"/>
      <c r="E317" s="16" t="n"/>
      <c r="F317" s="16" t="n"/>
      <c r="G317" s="16" t="n"/>
      <c r="H317" s="17" t="n"/>
      <c r="I317" s="18" t="n"/>
      <c r="J317" s="18" t="n"/>
      <c r="K317" s="19" t="n"/>
      <c r="L317" s="20">
        <f>IF($B317="","",IFERROR(VLOOKUP($B317,'تنظیمات'!$A$4:$C$43,2,FALSE),1))</f>
        <v/>
      </c>
      <c r="M317" s="21">
        <f>IF($B317="","",IFERROR(VLOOKUP($B317,'تنظیمات'!$A$4:$C$43,3,FALSE),"USD"))</f>
        <v/>
      </c>
      <c r="N317" s="22">
        <f>IF(OR($E317="",$F317="",$H317="",$L317=""),"",ABS($E317-$F317)*$H317*IF($M317="BASE",$L317/$E317,$L317))</f>
        <v/>
      </c>
      <c r="O317" s="22">
        <f>IF($J317&lt;&gt;"",$J317,IF(OR($E317="",$G317="",$H317="",$L317=""),"",($G317-$E317)*IF($C317="فروش",-1,1)*$H317*IF($M317="BASE",$L317/$G317,$L317)))</f>
        <v/>
      </c>
      <c r="P317" s="22">
        <f>IF($O317="","",$O317-N($I317))</f>
        <v/>
      </c>
      <c r="Q317" s="23">
        <f>IF(OR($P317="",$N317="",$N317=0),"",$P317/$N317)</f>
        <v/>
      </c>
      <c r="R317" s="21">
        <f>IF($P317="","",IF($P317&gt;0,"برد",IF($P317&lt;0,"باخت","سر به سر")))</f>
        <v/>
      </c>
      <c r="S317" s="22">
        <f>IF($P317="","",SUM($P$5:$P317))</f>
        <v/>
      </c>
      <c r="T317" s="24">
        <f>IF($R317="باخت",N($T316)+1,0)</f>
        <v/>
      </c>
      <c r="U317" s="22">
        <f>IF($S317="","",$S317-MAX($S$5:$S317))</f>
        <v/>
      </c>
    </row>
    <row r="318">
      <c r="A318" s="14" t="n"/>
      <c r="B318" s="15" t="n"/>
      <c r="C318" s="15" t="n"/>
      <c r="D318" s="15" t="n"/>
      <c r="E318" s="16" t="n"/>
      <c r="F318" s="16" t="n"/>
      <c r="G318" s="16" t="n"/>
      <c r="H318" s="17" t="n"/>
      <c r="I318" s="18" t="n"/>
      <c r="J318" s="18" t="n"/>
      <c r="K318" s="19" t="n"/>
      <c r="L318" s="20">
        <f>IF($B318="","",IFERROR(VLOOKUP($B318,'تنظیمات'!$A$4:$C$43,2,FALSE),1))</f>
        <v/>
      </c>
      <c r="M318" s="21">
        <f>IF($B318="","",IFERROR(VLOOKUP($B318,'تنظیمات'!$A$4:$C$43,3,FALSE),"USD"))</f>
        <v/>
      </c>
      <c r="N318" s="22">
        <f>IF(OR($E318="",$F318="",$H318="",$L318=""),"",ABS($E318-$F318)*$H318*IF($M318="BASE",$L318/$E318,$L318))</f>
        <v/>
      </c>
      <c r="O318" s="22">
        <f>IF($J318&lt;&gt;"",$J318,IF(OR($E318="",$G318="",$H318="",$L318=""),"",($G318-$E318)*IF($C318="فروش",-1,1)*$H318*IF($M318="BASE",$L318/$G318,$L318)))</f>
        <v/>
      </c>
      <c r="P318" s="22">
        <f>IF($O318="","",$O318-N($I318))</f>
        <v/>
      </c>
      <c r="Q318" s="23">
        <f>IF(OR($P318="",$N318="",$N318=0),"",$P318/$N318)</f>
        <v/>
      </c>
      <c r="R318" s="21">
        <f>IF($P318="","",IF($P318&gt;0,"برد",IF($P318&lt;0,"باخت","سر به سر")))</f>
        <v/>
      </c>
      <c r="S318" s="22">
        <f>IF($P318="","",SUM($P$5:$P318))</f>
        <v/>
      </c>
      <c r="T318" s="24">
        <f>IF($R318="باخت",N($T317)+1,0)</f>
        <v/>
      </c>
      <c r="U318" s="22">
        <f>IF($S318="","",$S318-MAX($S$5:$S318))</f>
        <v/>
      </c>
    </row>
    <row r="319">
      <c r="A319" s="14" t="n"/>
      <c r="B319" s="15" t="n"/>
      <c r="C319" s="15" t="n"/>
      <c r="D319" s="15" t="n"/>
      <c r="E319" s="16" t="n"/>
      <c r="F319" s="16" t="n"/>
      <c r="G319" s="16" t="n"/>
      <c r="H319" s="17" t="n"/>
      <c r="I319" s="18" t="n"/>
      <c r="J319" s="18" t="n"/>
      <c r="K319" s="19" t="n"/>
      <c r="L319" s="20">
        <f>IF($B319="","",IFERROR(VLOOKUP($B319,'تنظیمات'!$A$4:$C$43,2,FALSE),1))</f>
        <v/>
      </c>
      <c r="M319" s="21">
        <f>IF($B319="","",IFERROR(VLOOKUP($B319,'تنظیمات'!$A$4:$C$43,3,FALSE),"USD"))</f>
        <v/>
      </c>
      <c r="N319" s="22">
        <f>IF(OR($E319="",$F319="",$H319="",$L319=""),"",ABS($E319-$F319)*$H319*IF($M319="BASE",$L319/$E319,$L319))</f>
        <v/>
      </c>
      <c r="O319" s="22">
        <f>IF($J319&lt;&gt;"",$J319,IF(OR($E319="",$G319="",$H319="",$L319=""),"",($G319-$E319)*IF($C319="فروش",-1,1)*$H319*IF($M319="BASE",$L319/$G319,$L319)))</f>
        <v/>
      </c>
      <c r="P319" s="22">
        <f>IF($O319="","",$O319-N($I319))</f>
        <v/>
      </c>
      <c r="Q319" s="23">
        <f>IF(OR($P319="",$N319="",$N319=0),"",$P319/$N319)</f>
        <v/>
      </c>
      <c r="R319" s="21">
        <f>IF($P319="","",IF($P319&gt;0,"برد",IF($P319&lt;0,"باخت","سر به سر")))</f>
        <v/>
      </c>
      <c r="S319" s="22">
        <f>IF($P319="","",SUM($P$5:$P319))</f>
        <v/>
      </c>
      <c r="T319" s="24">
        <f>IF($R319="باخت",N($T318)+1,0)</f>
        <v/>
      </c>
      <c r="U319" s="22">
        <f>IF($S319="","",$S319-MAX($S$5:$S319))</f>
        <v/>
      </c>
    </row>
    <row r="320">
      <c r="A320" s="14" t="n"/>
      <c r="B320" s="15" t="n"/>
      <c r="C320" s="15" t="n"/>
      <c r="D320" s="15" t="n"/>
      <c r="E320" s="16" t="n"/>
      <c r="F320" s="16" t="n"/>
      <c r="G320" s="16" t="n"/>
      <c r="H320" s="17" t="n"/>
      <c r="I320" s="18" t="n"/>
      <c r="J320" s="18" t="n"/>
      <c r="K320" s="19" t="n"/>
      <c r="L320" s="20">
        <f>IF($B320="","",IFERROR(VLOOKUP($B320,'تنظیمات'!$A$4:$C$43,2,FALSE),1))</f>
        <v/>
      </c>
      <c r="M320" s="21">
        <f>IF($B320="","",IFERROR(VLOOKUP($B320,'تنظیمات'!$A$4:$C$43,3,FALSE),"USD"))</f>
        <v/>
      </c>
      <c r="N320" s="22">
        <f>IF(OR($E320="",$F320="",$H320="",$L320=""),"",ABS($E320-$F320)*$H320*IF($M320="BASE",$L320/$E320,$L320))</f>
        <v/>
      </c>
      <c r="O320" s="22">
        <f>IF($J320&lt;&gt;"",$J320,IF(OR($E320="",$G320="",$H320="",$L320=""),"",($G320-$E320)*IF($C320="فروش",-1,1)*$H320*IF($M320="BASE",$L320/$G320,$L320)))</f>
        <v/>
      </c>
      <c r="P320" s="22">
        <f>IF($O320="","",$O320-N($I320))</f>
        <v/>
      </c>
      <c r="Q320" s="23">
        <f>IF(OR($P320="",$N320="",$N320=0),"",$P320/$N320)</f>
        <v/>
      </c>
      <c r="R320" s="21">
        <f>IF($P320="","",IF($P320&gt;0,"برد",IF($P320&lt;0,"باخت","سر به سر")))</f>
        <v/>
      </c>
      <c r="S320" s="22">
        <f>IF($P320="","",SUM($P$5:$P320))</f>
        <v/>
      </c>
      <c r="T320" s="24">
        <f>IF($R320="باخت",N($T319)+1,0)</f>
        <v/>
      </c>
      <c r="U320" s="22">
        <f>IF($S320="","",$S320-MAX($S$5:$S320))</f>
        <v/>
      </c>
    </row>
    <row r="321">
      <c r="A321" s="14" t="n"/>
      <c r="B321" s="15" t="n"/>
      <c r="C321" s="15" t="n"/>
      <c r="D321" s="15" t="n"/>
      <c r="E321" s="16" t="n"/>
      <c r="F321" s="16" t="n"/>
      <c r="G321" s="16" t="n"/>
      <c r="H321" s="17" t="n"/>
      <c r="I321" s="18" t="n"/>
      <c r="J321" s="18" t="n"/>
      <c r="K321" s="19" t="n"/>
      <c r="L321" s="20">
        <f>IF($B321="","",IFERROR(VLOOKUP($B321,'تنظیمات'!$A$4:$C$43,2,FALSE),1))</f>
        <v/>
      </c>
      <c r="M321" s="21">
        <f>IF($B321="","",IFERROR(VLOOKUP($B321,'تنظیمات'!$A$4:$C$43,3,FALSE),"USD"))</f>
        <v/>
      </c>
      <c r="N321" s="22">
        <f>IF(OR($E321="",$F321="",$H321="",$L321=""),"",ABS($E321-$F321)*$H321*IF($M321="BASE",$L321/$E321,$L321))</f>
        <v/>
      </c>
      <c r="O321" s="22">
        <f>IF($J321&lt;&gt;"",$J321,IF(OR($E321="",$G321="",$H321="",$L321=""),"",($G321-$E321)*IF($C321="فروش",-1,1)*$H321*IF($M321="BASE",$L321/$G321,$L321)))</f>
        <v/>
      </c>
      <c r="P321" s="22">
        <f>IF($O321="","",$O321-N($I321))</f>
        <v/>
      </c>
      <c r="Q321" s="23">
        <f>IF(OR($P321="",$N321="",$N321=0),"",$P321/$N321)</f>
        <v/>
      </c>
      <c r="R321" s="21">
        <f>IF($P321="","",IF($P321&gt;0,"برد",IF($P321&lt;0,"باخت","سر به سر")))</f>
        <v/>
      </c>
      <c r="S321" s="22">
        <f>IF($P321="","",SUM($P$5:$P321))</f>
        <v/>
      </c>
      <c r="T321" s="24">
        <f>IF($R321="باخت",N($T320)+1,0)</f>
        <v/>
      </c>
      <c r="U321" s="22">
        <f>IF($S321="","",$S321-MAX($S$5:$S321))</f>
        <v/>
      </c>
    </row>
    <row r="322">
      <c r="A322" s="14" t="n"/>
      <c r="B322" s="15" t="n"/>
      <c r="C322" s="15" t="n"/>
      <c r="D322" s="15" t="n"/>
      <c r="E322" s="16" t="n"/>
      <c r="F322" s="16" t="n"/>
      <c r="G322" s="16" t="n"/>
      <c r="H322" s="17" t="n"/>
      <c r="I322" s="18" t="n"/>
      <c r="J322" s="18" t="n"/>
      <c r="K322" s="19" t="n"/>
      <c r="L322" s="20">
        <f>IF($B322="","",IFERROR(VLOOKUP($B322,'تنظیمات'!$A$4:$C$43,2,FALSE),1))</f>
        <v/>
      </c>
      <c r="M322" s="21">
        <f>IF($B322="","",IFERROR(VLOOKUP($B322,'تنظیمات'!$A$4:$C$43,3,FALSE),"USD"))</f>
        <v/>
      </c>
      <c r="N322" s="22">
        <f>IF(OR($E322="",$F322="",$H322="",$L322=""),"",ABS($E322-$F322)*$H322*IF($M322="BASE",$L322/$E322,$L322))</f>
        <v/>
      </c>
      <c r="O322" s="22">
        <f>IF($J322&lt;&gt;"",$J322,IF(OR($E322="",$G322="",$H322="",$L322=""),"",($G322-$E322)*IF($C322="فروش",-1,1)*$H322*IF($M322="BASE",$L322/$G322,$L322)))</f>
        <v/>
      </c>
      <c r="P322" s="22">
        <f>IF($O322="","",$O322-N($I322))</f>
        <v/>
      </c>
      <c r="Q322" s="23">
        <f>IF(OR($P322="",$N322="",$N322=0),"",$P322/$N322)</f>
        <v/>
      </c>
      <c r="R322" s="21">
        <f>IF($P322="","",IF($P322&gt;0,"برد",IF($P322&lt;0,"باخت","سر به سر")))</f>
        <v/>
      </c>
      <c r="S322" s="22">
        <f>IF($P322="","",SUM($P$5:$P322))</f>
        <v/>
      </c>
      <c r="T322" s="24">
        <f>IF($R322="باخت",N($T321)+1,0)</f>
        <v/>
      </c>
      <c r="U322" s="22">
        <f>IF($S322="","",$S322-MAX($S$5:$S322))</f>
        <v/>
      </c>
    </row>
    <row r="323">
      <c r="A323" s="14" t="n"/>
      <c r="B323" s="15" t="n"/>
      <c r="C323" s="15" t="n"/>
      <c r="D323" s="15" t="n"/>
      <c r="E323" s="16" t="n"/>
      <c r="F323" s="16" t="n"/>
      <c r="G323" s="16" t="n"/>
      <c r="H323" s="17" t="n"/>
      <c r="I323" s="18" t="n"/>
      <c r="J323" s="18" t="n"/>
      <c r="K323" s="19" t="n"/>
      <c r="L323" s="20">
        <f>IF($B323="","",IFERROR(VLOOKUP($B323,'تنظیمات'!$A$4:$C$43,2,FALSE),1))</f>
        <v/>
      </c>
      <c r="M323" s="21">
        <f>IF($B323="","",IFERROR(VLOOKUP($B323,'تنظیمات'!$A$4:$C$43,3,FALSE),"USD"))</f>
        <v/>
      </c>
      <c r="N323" s="22">
        <f>IF(OR($E323="",$F323="",$H323="",$L323=""),"",ABS($E323-$F323)*$H323*IF($M323="BASE",$L323/$E323,$L323))</f>
        <v/>
      </c>
      <c r="O323" s="22">
        <f>IF($J323&lt;&gt;"",$J323,IF(OR($E323="",$G323="",$H323="",$L323=""),"",($G323-$E323)*IF($C323="فروش",-1,1)*$H323*IF($M323="BASE",$L323/$G323,$L323)))</f>
        <v/>
      </c>
      <c r="P323" s="22">
        <f>IF($O323="","",$O323-N($I323))</f>
        <v/>
      </c>
      <c r="Q323" s="23">
        <f>IF(OR($P323="",$N323="",$N323=0),"",$P323/$N323)</f>
        <v/>
      </c>
      <c r="R323" s="21">
        <f>IF($P323="","",IF($P323&gt;0,"برد",IF($P323&lt;0,"باخت","سر به سر")))</f>
        <v/>
      </c>
      <c r="S323" s="22">
        <f>IF($P323="","",SUM($P$5:$P323))</f>
        <v/>
      </c>
      <c r="T323" s="24">
        <f>IF($R323="باخت",N($T322)+1,0)</f>
        <v/>
      </c>
      <c r="U323" s="22">
        <f>IF($S323="","",$S323-MAX($S$5:$S323))</f>
        <v/>
      </c>
    </row>
    <row r="324">
      <c r="A324" s="14" t="n"/>
      <c r="B324" s="15" t="n"/>
      <c r="C324" s="15" t="n"/>
      <c r="D324" s="15" t="n"/>
      <c r="E324" s="16" t="n"/>
      <c r="F324" s="16" t="n"/>
      <c r="G324" s="16" t="n"/>
      <c r="H324" s="17" t="n"/>
      <c r="I324" s="18" t="n"/>
      <c r="J324" s="18" t="n"/>
      <c r="K324" s="19" t="n"/>
      <c r="L324" s="20">
        <f>IF($B324="","",IFERROR(VLOOKUP($B324,'تنظیمات'!$A$4:$C$43,2,FALSE),1))</f>
        <v/>
      </c>
      <c r="M324" s="21">
        <f>IF($B324="","",IFERROR(VLOOKUP($B324,'تنظیمات'!$A$4:$C$43,3,FALSE),"USD"))</f>
        <v/>
      </c>
      <c r="N324" s="22">
        <f>IF(OR($E324="",$F324="",$H324="",$L324=""),"",ABS($E324-$F324)*$H324*IF($M324="BASE",$L324/$E324,$L324))</f>
        <v/>
      </c>
      <c r="O324" s="22">
        <f>IF($J324&lt;&gt;"",$J324,IF(OR($E324="",$G324="",$H324="",$L324=""),"",($G324-$E324)*IF($C324="فروش",-1,1)*$H324*IF($M324="BASE",$L324/$G324,$L324)))</f>
        <v/>
      </c>
      <c r="P324" s="22">
        <f>IF($O324="","",$O324-N($I324))</f>
        <v/>
      </c>
      <c r="Q324" s="23">
        <f>IF(OR($P324="",$N324="",$N324=0),"",$P324/$N324)</f>
        <v/>
      </c>
      <c r="R324" s="21">
        <f>IF($P324="","",IF($P324&gt;0,"برد",IF($P324&lt;0,"باخت","سر به سر")))</f>
        <v/>
      </c>
      <c r="S324" s="22">
        <f>IF($P324="","",SUM($P$5:$P324))</f>
        <v/>
      </c>
      <c r="T324" s="24">
        <f>IF($R324="باخت",N($T323)+1,0)</f>
        <v/>
      </c>
      <c r="U324" s="22">
        <f>IF($S324="","",$S324-MAX($S$5:$S324))</f>
        <v/>
      </c>
    </row>
    <row r="325">
      <c r="A325" s="14" t="n"/>
      <c r="B325" s="15" t="n"/>
      <c r="C325" s="15" t="n"/>
      <c r="D325" s="15" t="n"/>
      <c r="E325" s="16" t="n"/>
      <c r="F325" s="16" t="n"/>
      <c r="G325" s="16" t="n"/>
      <c r="H325" s="17" t="n"/>
      <c r="I325" s="18" t="n"/>
      <c r="J325" s="18" t="n"/>
      <c r="K325" s="19" t="n"/>
      <c r="L325" s="20">
        <f>IF($B325="","",IFERROR(VLOOKUP($B325,'تنظیمات'!$A$4:$C$43,2,FALSE),1))</f>
        <v/>
      </c>
      <c r="M325" s="21">
        <f>IF($B325="","",IFERROR(VLOOKUP($B325,'تنظیمات'!$A$4:$C$43,3,FALSE),"USD"))</f>
        <v/>
      </c>
      <c r="N325" s="22">
        <f>IF(OR($E325="",$F325="",$H325="",$L325=""),"",ABS($E325-$F325)*$H325*IF($M325="BASE",$L325/$E325,$L325))</f>
        <v/>
      </c>
      <c r="O325" s="22">
        <f>IF($J325&lt;&gt;"",$J325,IF(OR($E325="",$G325="",$H325="",$L325=""),"",($G325-$E325)*IF($C325="فروش",-1,1)*$H325*IF($M325="BASE",$L325/$G325,$L325)))</f>
        <v/>
      </c>
      <c r="P325" s="22">
        <f>IF($O325="","",$O325-N($I325))</f>
        <v/>
      </c>
      <c r="Q325" s="23">
        <f>IF(OR($P325="",$N325="",$N325=0),"",$P325/$N325)</f>
        <v/>
      </c>
      <c r="R325" s="21">
        <f>IF($P325="","",IF($P325&gt;0,"برد",IF($P325&lt;0,"باخت","سر به سر")))</f>
        <v/>
      </c>
      <c r="S325" s="22">
        <f>IF($P325="","",SUM($P$5:$P325))</f>
        <v/>
      </c>
      <c r="T325" s="24">
        <f>IF($R325="باخت",N($T324)+1,0)</f>
        <v/>
      </c>
      <c r="U325" s="22">
        <f>IF($S325="","",$S325-MAX($S$5:$S325))</f>
        <v/>
      </c>
    </row>
    <row r="326">
      <c r="A326" s="14" t="n"/>
      <c r="B326" s="15" t="n"/>
      <c r="C326" s="15" t="n"/>
      <c r="D326" s="15" t="n"/>
      <c r="E326" s="16" t="n"/>
      <c r="F326" s="16" t="n"/>
      <c r="G326" s="16" t="n"/>
      <c r="H326" s="17" t="n"/>
      <c r="I326" s="18" t="n"/>
      <c r="J326" s="18" t="n"/>
      <c r="K326" s="19" t="n"/>
      <c r="L326" s="20">
        <f>IF($B326="","",IFERROR(VLOOKUP($B326,'تنظیمات'!$A$4:$C$43,2,FALSE),1))</f>
        <v/>
      </c>
      <c r="M326" s="21">
        <f>IF($B326="","",IFERROR(VLOOKUP($B326,'تنظیمات'!$A$4:$C$43,3,FALSE),"USD"))</f>
        <v/>
      </c>
      <c r="N326" s="22">
        <f>IF(OR($E326="",$F326="",$H326="",$L326=""),"",ABS($E326-$F326)*$H326*IF($M326="BASE",$L326/$E326,$L326))</f>
        <v/>
      </c>
      <c r="O326" s="22">
        <f>IF($J326&lt;&gt;"",$J326,IF(OR($E326="",$G326="",$H326="",$L326=""),"",($G326-$E326)*IF($C326="فروش",-1,1)*$H326*IF($M326="BASE",$L326/$G326,$L326)))</f>
        <v/>
      </c>
      <c r="P326" s="22">
        <f>IF($O326="","",$O326-N($I326))</f>
        <v/>
      </c>
      <c r="Q326" s="23">
        <f>IF(OR($P326="",$N326="",$N326=0),"",$P326/$N326)</f>
        <v/>
      </c>
      <c r="R326" s="21">
        <f>IF($P326="","",IF($P326&gt;0,"برد",IF($P326&lt;0,"باخت","سر به سر")))</f>
        <v/>
      </c>
      <c r="S326" s="22">
        <f>IF($P326="","",SUM($P$5:$P326))</f>
        <v/>
      </c>
      <c r="T326" s="24">
        <f>IF($R326="باخت",N($T325)+1,0)</f>
        <v/>
      </c>
      <c r="U326" s="22">
        <f>IF($S326="","",$S326-MAX($S$5:$S326))</f>
        <v/>
      </c>
    </row>
    <row r="327">
      <c r="A327" s="14" t="n"/>
      <c r="B327" s="15" t="n"/>
      <c r="C327" s="15" t="n"/>
      <c r="D327" s="15" t="n"/>
      <c r="E327" s="16" t="n"/>
      <c r="F327" s="16" t="n"/>
      <c r="G327" s="16" t="n"/>
      <c r="H327" s="17" t="n"/>
      <c r="I327" s="18" t="n"/>
      <c r="J327" s="18" t="n"/>
      <c r="K327" s="19" t="n"/>
      <c r="L327" s="20">
        <f>IF($B327="","",IFERROR(VLOOKUP($B327,'تنظیمات'!$A$4:$C$43,2,FALSE),1))</f>
        <v/>
      </c>
      <c r="M327" s="21">
        <f>IF($B327="","",IFERROR(VLOOKUP($B327,'تنظیمات'!$A$4:$C$43,3,FALSE),"USD"))</f>
        <v/>
      </c>
      <c r="N327" s="22">
        <f>IF(OR($E327="",$F327="",$H327="",$L327=""),"",ABS($E327-$F327)*$H327*IF($M327="BASE",$L327/$E327,$L327))</f>
        <v/>
      </c>
      <c r="O327" s="22">
        <f>IF($J327&lt;&gt;"",$J327,IF(OR($E327="",$G327="",$H327="",$L327=""),"",($G327-$E327)*IF($C327="فروش",-1,1)*$H327*IF($M327="BASE",$L327/$G327,$L327)))</f>
        <v/>
      </c>
      <c r="P327" s="22">
        <f>IF($O327="","",$O327-N($I327))</f>
        <v/>
      </c>
      <c r="Q327" s="23">
        <f>IF(OR($P327="",$N327="",$N327=0),"",$P327/$N327)</f>
        <v/>
      </c>
      <c r="R327" s="21">
        <f>IF($P327="","",IF($P327&gt;0,"برد",IF($P327&lt;0,"باخت","سر به سر")))</f>
        <v/>
      </c>
      <c r="S327" s="22">
        <f>IF($P327="","",SUM($P$5:$P327))</f>
        <v/>
      </c>
      <c r="T327" s="24">
        <f>IF($R327="باخت",N($T326)+1,0)</f>
        <v/>
      </c>
      <c r="U327" s="22">
        <f>IF($S327="","",$S327-MAX($S$5:$S327))</f>
        <v/>
      </c>
    </row>
    <row r="328">
      <c r="A328" s="14" t="n"/>
      <c r="B328" s="15" t="n"/>
      <c r="C328" s="15" t="n"/>
      <c r="D328" s="15" t="n"/>
      <c r="E328" s="16" t="n"/>
      <c r="F328" s="16" t="n"/>
      <c r="G328" s="16" t="n"/>
      <c r="H328" s="17" t="n"/>
      <c r="I328" s="18" t="n"/>
      <c r="J328" s="18" t="n"/>
      <c r="K328" s="19" t="n"/>
      <c r="L328" s="20">
        <f>IF($B328="","",IFERROR(VLOOKUP($B328,'تنظیمات'!$A$4:$C$43,2,FALSE),1))</f>
        <v/>
      </c>
      <c r="M328" s="21">
        <f>IF($B328="","",IFERROR(VLOOKUP($B328,'تنظیمات'!$A$4:$C$43,3,FALSE),"USD"))</f>
        <v/>
      </c>
      <c r="N328" s="22">
        <f>IF(OR($E328="",$F328="",$H328="",$L328=""),"",ABS($E328-$F328)*$H328*IF($M328="BASE",$L328/$E328,$L328))</f>
        <v/>
      </c>
      <c r="O328" s="22">
        <f>IF($J328&lt;&gt;"",$J328,IF(OR($E328="",$G328="",$H328="",$L328=""),"",($G328-$E328)*IF($C328="فروش",-1,1)*$H328*IF($M328="BASE",$L328/$G328,$L328)))</f>
        <v/>
      </c>
      <c r="P328" s="22">
        <f>IF($O328="","",$O328-N($I328))</f>
        <v/>
      </c>
      <c r="Q328" s="23">
        <f>IF(OR($P328="",$N328="",$N328=0),"",$P328/$N328)</f>
        <v/>
      </c>
      <c r="R328" s="21">
        <f>IF($P328="","",IF($P328&gt;0,"برد",IF($P328&lt;0,"باخت","سر به سر")))</f>
        <v/>
      </c>
      <c r="S328" s="22">
        <f>IF($P328="","",SUM($P$5:$P328))</f>
        <v/>
      </c>
      <c r="T328" s="24">
        <f>IF($R328="باخت",N($T327)+1,0)</f>
        <v/>
      </c>
      <c r="U328" s="22">
        <f>IF($S328="","",$S328-MAX($S$5:$S328))</f>
        <v/>
      </c>
    </row>
    <row r="329">
      <c r="A329" s="14" t="n"/>
      <c r="B329" s="15" t="n"/>
      <c r="C329" s="15" t="n"/>
      <c r="D329" s="15" t="n"/>
      <c r="E329" s="16" t="n"/>
      <c r="F329" s="16" t="n"/>
      <c r="G329" s="16" t="n"/>
      <c r="H329" s="17" t="n"/>
      <c r="I329" s="18" t="n"/>
      <c r="J329" s="18" t="n"/>
      <c r="K329" s="19" t="n"/>
      <c r="L329" s="20">
        <f>IF($B329="","",IFERROR(VLOOKUP($B329,'تنظیمات'!$A$4:$C$43,2,FALSE),1))</f>
        <v/>
      </c>
      <c r="M329" s="21">
        <f>IF($B329="","",IFERROR(VLOOKUP($B329,'تنظیمات'!$A$4:$C$43,3,FALSE),"USD"))</f>
        <v/>
      </c>
      <c r="N329" s="22">
        <f>IF(OR($E329="",$F329="",$H329="",$L329=""),"",ABS($E329-$F329)*$H329*IF($M329="BASE",$L329/$E329,$L329))</f>
        <v/>
      </c>
      <c r="O329" s="22">
        <f>IF($J329&lt;&gt;"",$J329,IF(OR($E329="",$G329="",$H329="",$L329=""),"",($G329-$E329)*IF($C329="فروش",-1,1)*$H329*IF($M329="BASE",$L329/$G329,$L329)))</f>
        <v/>
      </c>
      <c r="P329" s="22">
        <f>IF($O329="","",$O329-N($I329))</f>
        <v/>
      </c>
      <c r="Q329" s="23">
        <f>IF(OR($P329="",$N329="",$N329=0),"",$P329/$N329)</f>
        <v/>
      </c>
      <c r="R329" s="21">
        <f>IF($P329="","",IF($P329&gt;0,"برد",IF($P329&lt;0,"باخت","سر به سر")))</f>
        <v/>
      </c>
      <c r="S329" s="22">
        <f>IF($P329="","",SUM($P$5:$P329))</f>
        <v/>
      </c>
      <c r="T329" s="24">
        <f>IF($R329="باخت",N($T328)+1,0)</f>
        <v/>
      </c>
      <c r="U329" s="22">
        <f>IF($S329="","",$S329-MAX($S$5:$S329))</f>
        <v/>
      </c>
    </row>
    <row r="330">
      <c r="A330" s="14" t="n"/>
      <c r="B330" s="15" t="n"/>
      <c r="C330" s="15" t="n"/>
      <c r="D330" s="15" t="n"/>
      <c r="E330" s="16" t="n"/>
      <c r="F330" s="16" t="n"/>
      <c r="G330" s="16" t="n"/>
      <c r="H330" s="17" t="n"/>
      <c r="I330" s="18" t="n"/>
      <c r="J330" s="18" t="n"/>
      <c r="K330" s="19" t="n"/>
      <c r="L330" s="20">
        <f>IF($B330="","",IFERROR(VLOOKUP($B330,'تنظیمات'!$A$4:$C$43,2,FALSE),1))</f>
        <v/>
      </c>
      <c r="M330" s="21">
        <f>IF($B330="","",IFERROR(VLOOKUP($B330,'تنظیمات'!$A$4:$C$43,3,FALSE),"USD"))</f>
        <v/>
      </c>
      <c r="N330" s="22">
        <f>IF(OR($E330="",$F330="",$H330="",$L330=""),"",ABS($E330-$F330)*$H330*IF($M330="BASE",$L330/$E330,$L330))</f>
        <v/>
      </c>
      <c r="O330" s="22">
        <f>IF($J330&lt;&gt;"",$J330,IF(OR($E330="",$G330="",$H330="",$L330=""),"",($G330-$E330)*IF($C330="فروش",-1,1)*$H330*IF($M330="BASE",$L330/$G330,$L330)))</f>
        <v/>
      </c>
      <c r="P330" s="22">
        <f>IF($O330="","",$O330-N($I330))</f>
        <v/>
      </c>
      <c r="Q330" s="23">
        <f>IF(OR($P330="",$N330="",$N330=0),"",$P330/$N330)</f>
        <v/>
      </c>
      <c r="R330" s="21">
        <f>IF($P330="","",IF($P330&gt;0,"برد",IF($P330&lt;0,"باخت","سر به سر")))</f>
        <v/>
      </c>
      <c r="S330" s="22">
        <f>IF($P330="","",SUM($P$5:$P330))</f>
        <v/>
      </c>
      <c r="T330" s="24">
        <f>IF($R330="باخت",N($T329)+1,0)</f>
        <v/>
      </c>
      <c r="U330" s="22">
        <f>IF($S330="","",$S330-MAX($S$5:$S330))</f>
        <v/>
      </c>
    </row>
    <row r="331">
      <c r="A331" s="14" t="n"/>
      <c r="B331" s="15" t="n"/>
      <c r="C331" s="15" t="n"/>
      <c r="D331" s="15" t="n"/>
      <c r="E331" s="16" t="n"/>
      <c r="F331" s="16" t="n"/>
      <c r="G331" s="16" t="n"/>
      <c r="H331" s="17" t="n"/>
      <c r="I331" s="18" t="n"/>
      <c r="J331" s="18" t="n"/>
      <c r="K331" s="19" t="n"/>
      <c r="L331" s="20">
        <f>IF($B331="","",IFERROR(VLOOKUP($B331,'تنظیمات'!$A$4:$C$43,2,FALSE),1))</f>
        <v/>
      </c>
      <c r="M331" s="21">
        <f>IF($B331="","",IFERROR(VLOOKUP($B331,'تنظیمات'!$A$4:$C$43,3,FALSE),"USD"))</f>
        <v/>
      </c>
      <c r="N331" s="22">
        <f>IF(OR($E331="",$F331="",$H331="",$L331=""),"",ABS($E331-$F331)*$H331*IF($M331="BASE",$L331/$E331,$L331))</f>
        <v/>
      </c>
      <c r="O331" s="22">
        <f>IF($J331&lt;&gt;"",$J331,IF(OR($E331="",$G331="",$H331="",$L331=""),"",($G331-$E331)*IF($C331="فروش",-1,1)*$H331*IF($M331="BASE",$L331/$G331,$L331)))</f>
        <v/>
      </c>
      <c r="P331" s="22">
        <f>IF($O331="","",$O331-N($I331))</f>
        <v/>
      </c>
      <c r="Q331" s="23">
        <f>IF(OR($P331="",$N331="",$N331=0),"",$P331/$N331)</f>
        <v/>
      </c>
      <c r="R331" s="21">
        <f>IF($P331="","",IF($P331&gt;0,"برد",IF($P331&lt;0,"باخت","سر به سر")))</f>
        <v/>
      </c>
      <c r="S331" s="22">
        <f>IF($P331="","",SUM($P$5:$P331))</f>
        <v/>
      </c>
      <c r="T331" s="24">
        <f>IF($R331="باخت",N($T330)+1,0)</f>
        <v/>
      </c>
      <c r="U331" s="22">
        <f>IF($S331="","",$S331-MAX($S$5:$S331))</f>
        <v/>
      </c>
    </row>
    <row r="332">
      <c r="A332" s="14" t="n"/>
      <c r="B332" s="15" t="n"/>
      <c r="C332" s="15" t="n"/>
      <c r="D332" s="15" t="n"/>
      <c r="E332" s="16" t="n"/>
      <c r="F332" s="16" t="n"/>
      <c r="G332" s="16" t="n"/>
      <c r="H332" s="17" t="n"/>
      <c r="I332" s="18" t="n"/>
      <c r="J332" s="18" t="n"/>
      <c r="K332" s="19" t="n"/>
      <c r="L332" s="20">
        <f>IF($B332="","",IFERROR(VLOOKUP($B332,'تنظیمات'!$A$4:$C$43,2,FALSE),1))</f>
        <v/>
      </c>
      <c r="M332" s="21">
        <f>IF($B332="","",IFERROR(VLOOKUP($B332,'تنظیمات'!$A$4:$C$43,3,FALSE),"USD"))</f>
        <v/>
      </c>
      <c r="N332" s="22">
        <f>IF(OR($E332="",$F332="",$H332="",$L332=""),"",ABS($E332-$F332)*$H332*IF($M332="BASE",$L332/$E332,$L332))</f>
        <v/>
      </c>
      <c r="O332" s="22">
        <f>IF($J332&lt;&gt;"",$J332,IF(OR($E332="",$G332="",$H332="",$L332=""),"",($G332-$E332)*IF($C332="فروش",-1,1)*$H332*IF($M332="BASE",$L332/$G332,$L332)))</f>
        <v/>
      </c>
      <c r="P332" s="22">
        <f>IF($O332="","",$O332-N($I332))</f>
        <v/>
      </c>
      <c r="Q332" s="23">
        <f>IF(OR($P332="",$N332="",$N332=0),"",$P332/$N332)</f>
        <v/>
      </c>
      <c r="R332" s="21">
        <f>IF($P332="","",IF($P332&gt;0,"برد",IF($P332&lt;0,"باخت","سر به سر")))</f>
        <v/>
      </c>
      <c r="S332" s="22">
        <f>IF($P332="","",SUM($P$5:$P332))</f>
        <v/>
      </c>
      <c r="T332" s="24">
        <f>IF($R332="باخت",N($T331)+1,0)</f>
        <v/>
      </c>
      <c r="U332" s="22">
        <f>IF($S332="","",$S332-MAX($S$5:$S332))</f>
        <v/>
      </c>
    </row>
    <row r="333">
      <c r="A333" s="14" t="n"/>
      <c r="B333" s="15" t="n"/>
      <c r="C333" s="15" t="n"/>
      <c r="D333" s="15" t="n"/>
      <c r="E333" s="16" t="n"/>
      <c r="F333" s="16" t="n"/>
      <c r="G333" s="16" t="n"/>
      <c r="H333" s="17" t="n"/>
      <c r="I333" s="18" t="n"/>
      <c r="J333" s="18" t="n"/>
      <c r="K333" s="19" t="n"/>
      <c r="L333" s="20">
        <f>IF($B333="","",IFERROR(VLOOKUP($B333,'تنظیمات'!$A$4:$C$43,2,FALSE),1))</f>
        <v/>
      </c>
      <c r="M333" s="21">
        <f>IF($B333="","",IFERROR(VLOOKUP($B333,'تنظیمات'!$A$4:$C$43,3,FALSE),"USD"))</f>
        <v/>
      </c>
      <c r="N333" s="22">
        <f>IF(OR($E333="",$F333="",$H333="",$L333=""),"",ABS($E333-$F333)*$H333*IF($M333="BASE",$L333/$E333,$L333))</f>
        <v/>
      </c>
      <c r="O333" s="22">
        <f>IF($J333&lt;&gt;"",$J333,IF(OR($E333="",$G333="",$H333="",$L333=""),"",($G333-$E333)*IF($C333="فروش",-1,1)*$H333*IF($M333="BASE",$L333/$G333,$L333)))</f>
        <v/>
      </c>
      <c r="P333" s="22">
        <f>IF($O333="","",$O333-N($I333))</f>
        <v/>
      </c>
      <c r="Q333" s="23">
        <f>IF(OR($P333="",$N333="",$N333=0),"",$P333/$N333)</f>
        <v/>
      </c>
      <c r="R333" s="21">
        <f>IF($P333="","",IF($P333&gt;0,"برد",IF($P333&lt;0,"باخت","سر به سر")))</f>
        <v/>
      </c>
      <c r="S333" s="22">
        <f>IF($P333="","",SUM($P$5:$P333))</f>
        <v/>
      </c>
      <c r="T333" s="24">
        <f>IF($R333="باخت",N($T332)+1,0)</f>
        <v/>
      </c>
      <c r="U333" s="22">
        <f>IF($S333="","",$S333-MAX($S$5:$S333))</f>
        <v/>
      </c>
    </row>
    <row r="334">
      <c r="A334" s="14" t="n"/>
      <c r="B334" s="15" t="n"/>
      <c r="C334" s="15" t="n"/>
      <c r="D334" s="15" t="n"/>
      <c r="E334" s="16" t="n"/>
      <c r="F334" s="16" t="n"/>
      <c r="G334" s="16" t="n"/>
      <c r="H334" s="17" t="n"/>
      <c r="I334" s="18" t="n"/>
      <c r="J334" s="18" t="n"/>
      <c r="K334" s="19" t="n"/>
      <c r="L334" s="20">
        <f>IF($B334="","",IFERROR(VLOOKUP($B334,'تنظیمات'!$A$4:$C$43,2,FALSE),1))</f>
        <v/>
      </c>
      <c r="M334" s="21">
        <f>IF($B334="","",IFERROR(VLOOKUP($B334,'تنظیمات'!$A$4:$C$43,3,FALSE),"USD"))</f>
        <v/>
      </c>
      <c r="N334" s="22">
        <f>IF(OR($E334="",$F334="",$H334="",$L334=""),"",ABS($E334-$F334)*$H334*IF($M334="BASE",$L334/$E334,$L334))</f>
        <v/>
      </c>
      <c r="O334" s="22">
        <f>IF($J334&lt;&gt;"",$J334,IF(OR($E334="",$G334="",$H334="",$L334=""),"",($G334-$E334)*IF($C334="فروش",-1,1)*$H334*IF($M334="BASE",$L334/$G334,$L334)))</f>
        <v/>
      </c>
      <c r="P334" s="22">
        <f>IF($O334="","",$O334-N($I334))</f>
        <v/>
      </c>
      <c r="Q334" s="23">
        <f>IF(OR($P334="",$N334="",$N334=0),"",$P334/$N334)</f>
        <v/>
      </c>
      <c r="R334" s="21">
        <f>IF($P334="","",IF($P334&gt;0,"برد",IF($P334&lt;0,"باخت","سر به سر")))</f>
        <v/>
      </c>
      <c r="S334" s="22">
        <f>IF($P334="","",SUM($P$5:$P334))</f>
        <v/>
      </c>
      <c r="T334" s="24">
        <f>IF($R334="باخت",N($T333)+1,0)</f>
        <v/>
      </c>
      <c r="U334" s="22">
        <f>IF($S334="","",$S334-MAX($S$5:$S334))</f>
        <v/>
      </c>
    </row>
    <row r="335">
      <c r="A335" s="14" t="n"/>
      <c r="B335" s="15" t="n"/>
      <c r="C335" s="15" t="n"/>
      <c r="D335" s="15" t="n"/>
      <c r="E335" s="16" t="n"/>
      <c r="F335" s="16" t="n"/>
      <c r="G335" s="16" t="n"/>
      <c r="H335" s="17" t="n"/>
      <c r="I335" s="18" t="n"/>
      <c r="J335" s="18" t="n"/>
      <c r="K335" s="19" t="n"/>
      <c r="L335" s="20">
        <f>IF($B335="","",IFERROR(VLOOKUP($B335,'تنظیمات'!$A$4:$C$43,2,FALSE),1))</f>
        <v/>
      </c>
      <c r="M335" s="21">
        <f>IF($B335="","",IFERROR(VLOOKUP($B335,'تنظیمات'!$A$4:$C$43,3,FALSE),"USD"))</f>
        <v/>
      </c>
      <c r="N335" s="22">
        <f>IF(OR($E335="",$F335="",$H335="",$L335=""),"",ABS($E335-$F335)*$H335*IF($M335="BASE",$L335/$E335,$L335))</f>
        <v/>
      </c>
      <c r="O335" s="22">
        <f>IF($J335&lt;&gt;"",$J335,IF(OR($E335="",$G335="",$H335="",$L335=""),"",($G335-$E335)*IF($C335="فروش",-1,1)*$H335*IF($M335="BASE",$L335/$G335,$L335)))</f>
        <v/>
      </c>
      <c r="P335" s="22">
        <f>IF($O335="","",$O335-N($I335))</f>
        <v/>
      </c>
      <c r="Q335" s="23">
        <f>IF(OR($P335="",$N335="",$N335=0),"",$P335/$N335)</f>
        <v/>
      </c>
      <c r="R335" s="21">
        <f>IF($P335="","",IF($P335&gt;0,"برد",IF($P335&lt;0,"باخت","سر به سر")))</f>
        <v/>
      </c>
      <c r="S335" s="22">
        <f>IF($P335="","",SUM($P$5:$P335))</f>
        <v/>
      </c>
      <c r="T335" s="24">
        <f>IF($R335="باخت",N($T334)+1,0)</f>
        <v/>
      </c>
      <c r="U335" s="22">
        <f>IF($S335="","",$S335-MAX($S$5:$S335))</f>
        <v/>
      </c>
    </row>
    <row r="336">
      <c r="A336" s="14" t="n"/>
      <c r="B336" s="15" t="n"/>
      <c r="C336" s="15" t="n"/>
      <c r="D336" s="15" t="n"/>
      <c r="E336" s="16" t="n"/>
      <c r="F336" s="16" t="n"/>
      <c r="G336" s="16" t="n"/>
      <c r="H336" s="17" t="n"/>
      <c r="I336" s="18" t="n"/>
      <c r="J336" s="18" t="n"/>
      <c r="K336" s="19" t="n"/>
      <c r="L336" s="20">
        <f>IF($B336="","",IFERROR(VLOOKUP($B336,'تنظیمات'!$A$4:$C$43,2,FALSE),1))</f>
        <v/>
      </c>
      <c r="M336" s="21">
        <f>IF($B336="","",IFERROR(VLOOKUP($B336,'تنظیمات'!$A$4:$C$43,3,FALSE),"USD"))</f>
        <v/>
      </c>
      <c r="N336" s="22">
        <f>IF(OR($E336="",$F336="",$H336="",$L336=""),"",ABS($E336-$F336)*$H336*IF($M336="BASE",$L336/$E336,$L336))</f>
        <v/>
      </c>
      <c r="O336" s="22">
        <f>IF($J336&lt;&gt;"",$J336,IF(OR($E336="",$G336="",$H336="",$L336=""),"",($G336-$E336)*IF($C336="فروش",-1,1)*$H336*IF($M336="BASE",$L336/$G336,$L336)))</f>
        <v/>
      </c>
      <c r="P336" s="22">
        <f>IF($O336="","",$O336-N($I336))</f>
        <v/>
      </c>
      <c r="Q336" s="23">
        <f>IF(OR($P336="",$N336="",$N336=0),"",$P336/$N336)</f>
        <v/>
      </c>
      <c r="R336" s="21">
        <f>IF($P336="","",IF($P336&gt;0,"برد",IF($P336&lt;0,"باخت","سر به سر")))</f>
        <v/>
      </c>
      <c r="S336" s="22">
        <f>IF($P336="","",SUM($P$5:$P336))</f>
        <v/>
      </c>
      <c r="T336" s="24">
        <f>IF($R336="باخت",N($T335)+1,0)</f>
        <v/>
      </c>
      <c r="U336" s="22">
        <f>IF($S336="","",$S336-MAX($S$5:$S336))</f>
        <v/>
      </c>
    </row>
    <row r="337">
      <c r="A337" s="14" t="n"/>
      <c r="B337" s="15" t="n"/>
      <c r="C337" s="15" t="n"/>
      <c r="D337" s="15" t="n"/>
      <c r="E337" s="16" t="n"/>
      <c r="F337" s="16" t="n"/>
      <c r="G337" s="16" t="n"/>
      <c r="H337" s="17" t="n"/>
      <c r="I337" s="18" t="n"/>
      <c r="J337" s="18" t="n"/>
      <c r="K337" s="19" t="n"/>
      <c r="L337" s="20">
        <f>IF($B337="","",IFERROR(VLOOKUP($B337,'تنظیمات'!$A$4:$C$43,2,FALSE),1))</f>
        <v/>
      </c>
      <c r="M337" s="21">
        <f>IF($B337="","",IFERROR(VLOOKUP($B337,'تنظیمات'!$A$4:$C$43,3,FALSE),"USD"))</f>
        <v/>
      </c>
      <c r="N337" s="22">
        <f>IF(OR($E337="",$F337="",$H337="",$L337=""),"",ABS($E337-$F337)*$H337*IF($M337="BASE",$L337/$E337,$L337))</f>
        <v/>
      </c>
      <c r="O337" s="22">
        <f>IF($J337&lt;&gt;"",$J337,IF(OR($E337="",$G337="",$H337="",$L337=""),"",($G337-$E337)*IF($C337="فروش",-1,1)*$H337*IF($M337="BASE",$L337/$G337,$L337)))</f>
        <v/>
      </c>
      <c r="P337" s="22">
        <f>IF($O337="","",$O337-N($I337))</f>
        <v/>
      </c>
      <c r="Q337" s="23">
        <f>IF(OR($P337="",$N337="",$N337=0),"",$P337/$N337)</f>
        <v/>
      </c>
      <c r="R337" s="21">
        <f>IF($P337="","",IF($P337&gt;0,"برد",IF($P337&lt;0,"باخت","سر به سر")))</f>
        <v/>
      </c>
      <c r="S337" s="22">
        <f>IF($P337="","",SUM($P$5:$P337))</f>
        <v/>
      </c>
      <c r="T337" s="24">
        <f>IF($R337="باخت",N($T336)+1,0)</f>
        <v/>
      </c>
      <c r="U337" s="22">
        <f>IF($S337="","",$S337-MAX($S$5:$S337))</f>
        <v/>
      </c>
    </row>
    <row r="338">
      <c r="A338" s="14" t="n"/>
      <c r="B338" s="15" t="n"/>
      <c r="C338" s="15" t="n"/>
      <c r="D338" s="15" t="n"/>
      <c r="E338" s="16" t="n"/>
      <c r="F338" s="16" t="n"/>
      <c r="G338" s="16" t="n"/>
      <c r="H338" s="17" t="n"/>
      <c r="I338" s="18" t="n"/>
      <c r="J338" s="18" t="n"/>
      <c r="K338" s="19" t="n"/>
      <c r="L338" s="20">
        <f>IF($B338="","",IFERROR(VLOOKUP($B338,'تنظیمات'!$A$4:$C$43,2,FALSE),1))</f>
        <v/>
      </c>
      <c r="M338" s="21">
        <f>IF($B338="","",IFERROR(VLOOKUP($B338,'تنظیمات'!$A$4:$C$43,3,FALSE),"USD"))</f>
        <v/>
      </c>
      <c r="N338" s="22">
        <f>IF(OR($E338="",$F338="",$H338="",$L338=""),"",ABS($E338-$F338)*$H338*IF($M338="BASE",$L338/$E338,$L338))</f>
        <v/>
      </c>
      <c r="O338" s="22">
        <f>IF($J338&lt;&gt;"",$J338,IF(OR($E338="",$G338="",$H338="",$L338=""),"",($G338-$E338)*IF($C338="فروش",-1,1)*$H338*IF($M338="BASE",$L338/$G338,$L338)))</f>
        <v/>
      </c>
      <c r="P338" s="22">
        <f>IF($O338="","",$O338-N($I338))</f>
        <v/>
      </c>
      <c r="Q338" s="23">
        <f>IF(OR($P338="",$N338="",$N338=0),"",$P338/$N338)</f>
        <v/>
      </c>
      <c r="R338" s="21">
        <f>IF($P338="","",IF($P338&gt;0,"برد",IF($P338&lt;0,"باخت","سر به سر")))</f>
        <v/>
      </c>
      <c r="S338" s="22">
        <f>IF($P338="","",SUM($P$5:$P338))</f>
        <v/>
      </c>
      <c r="T338" s="24">
        <f>IF($R338="باخت",N($T337)+1,0)</f>
        <v/>
      </c>
      <c r="U338" s="22">
        <f>IF($S338="","",$S338-MAX($S$5:$S338))</f>
        <v/>
      </c>
    </row>
    <row r="339">
      <c r="A339" s="14" t="n"/>
      <c r="B339" s="15" t="n"/>
      <c r="C339" s="15" t="n"/>
      <c r="D339" s="15" t="n"/>
      <c r="E339" s="16" t="n"/>
      <c r="F339" s="16" t="n"/>
      <c r="G339" s="16" t="n"/>
      <c r="H339" s="17" t="n"/>
      <c r="I339" s="18" t="n"/>
      <c r="J339" s="18" t="n"/>
      <c r="K339" s="19" t="n"/>
      <c r="L339" s="20">
        <f>IF($B339="","",IFERROR(VLOOKUP($B339,'تنظیمات'!$A$4:$C$43,2,FALSE),1))</f>
        <v/>
      </c>
      <c r="M339" s="21">
        <f>IF($B339="","",IFERROR(VLOOKUP($B339,'تنظیمات'!$A$4:$C$43,3,FALSE),"USD"))</f>
        <v/>
      </c>
      <c r="N339" s="22">
        <f>IF(OR($E339="",$F339="",$H339="",$L339=""),"",ABS($E339-$F339)*$H339*IF($M339="BASE",$L339/$E339,$L339))</f>
        <v/>
      </c>
      <c r="O339" s="22">
        <f>IF($J339&lt;&gt;"",$J339,IF(OR($E339="",$G339="",$H339="",$L339=""),"",($G339-$E339)*IF($C339="فروش",-1,1)*$H339*IF($M339="BASE",$L339/$G339,$L339)))</f>
        <v/>
      </c>
      <c r="P339" s="22">
        <f>IF($O339="","",$O339-N($I339))</f>
        <v/>
      </c>
      <c r="Q339" s="23">
        <f>IF(OR($P339="",$N339="",$N339=0),"",$P339/$N339)</f>
        <v/>
      </c>
      <c r="R339" s="21">
        <f>IF($P339="","",IF($P339&gt;0,"برد",IF($P339&lt;0,"باخت","سر به سر")))</f>
        <v/>
      </c>
      <c r="S339" s="22">
        <f>IF($P339="","",SUM($P$5:$P339))</f>
        <v/>
      </c>
      <c r="T339" s="24">
        <f>IF($R339="باخت",N($T338)+1,0)</f>
        <v/>
      </c>
      <c r="U339" s="22">
        <f>IF($S339="","",$S339-MAX($S$5:$S339))</f>
        <v/>
      </c>
    </row>
    <row r="340">
      <c r="A340" s="14" t="n"/>
      <c r="B340" s="15" t="n"/>
      <c r="C340" s="15" t="n"/>
      <c r="D340" s="15" t="n"/>
      <c r="E340" s="16" t="n"/>
      <c r="F340" s="16" t="n"/>
      <c r="G340" s="16" t="n"/>
      <c r="H340" s="17" t="n"/>
      <c r="I340" s="18" t="n"/>
      <c r="J340" s="18" t="n"/>
      <c r="K340" s="19" t="n"/>
      <c r="L340" s="20">
        <f>IF($B340="","",IFERROR(VLOOKUP($B340,'تنظیمات'!$A$4:$C$43,2,FALSE),1))</f>
        <v/>
      </c>
      <c r="M340" s="21">
        <f>IF($B340="","",IFERROR(VLOOKUP($B340,'تنظیمات'!$A$4:$C$43,3,FALSE),"USD"))</f>
        <v/>
      </c>
      <c r="N340" s="22">
        <f>IF(OR($E340="",$F340="",$H340="",$L340=""),"",ABS($E340-$F340)*$H340*IF($M340="BASE",$L340/$E340,$L340))</f>
        <v/>
      </c>
      <c r="O340" s="22">
        <f>IF($J340&lt;&gt;"",$J340,IF(OR($E340="",$G340="",$H340="",$L340=""),"",($G340-$E340)*IF($C340="فروش",-1,1)*$H340*IF($M340="BASE",$L340/$G340,$L340)))</f>
        <v/>
      </c>
      <c r="P340" s="22">
        <f>IF($O340="","",$O340-N($I340))</f>
        <v/>
      </c>
      <c r="Q340" s="23">
        <f>IF(OR($P340="",$N340="",$N340=0),"",$P340/$N340)</f>
        <v/>
      </c>
      <c r="R340" s="21">
        <f>IF($P340="","",IF($P340&gt;0,"برد",IF($P340&lt;0,"باخت","سر به سر")))</f>
        <v/>
      </c>
      <c r="S340" s="22">
        <f>IF($P340="","",SUM($P$5:$P340))</f>
        <v/>
      </c>
      <c r="T340" s="24">
        <f>IF($R340="باخت",N($T339)+1,0)</f>
        <v/>
      </c>
      <c r="U340" s="22">
        <f>IF($S340="","",$S340-MAX($S$5:$S340))</f>
        <v/>
      </c>
    </row>
    <row r="341">
      <c r="A341" s="14" t="n"/>
      <c r="B341" s="15" t="n"/>
      <c r="C341" s="15" t="n"/>
      <c r="D341" s="15" t="n"/>
      <c r="E341" s="16" t="n"/>
      <c r="F341" s="16" t="n"/>
      <c r="G341" s="16" t="n"/>
      <c r="H341" s="17" t="n"/>
      <c r="I341" s="18" t="n"/>
      <c r="J341" s="18" t="n"/>
      <c r="K341" s="19" t="n"/>
      <c r="L341" s="20">
        <f>IF($B341="","",IFERROR(VLOOKUP($B341,'تنظیمات'!$A$4:$C$43,2,FALSE),1))</f>
        <v/>
      </c>
      <c r="M341" s="21">
        <f>IF($B341="","",IFERROR(VLOOKUP($B341,'تنظیمات'!$A$4:$C$43,3,FALSE),"USD"))</f>
        <v/>
      </c>
      <c r="N341" s="22">
        <f>IF(OR($E341="",$F341="",$H341="",$L341=""),"",ABS($E341-$F341)*$H341*IF($M341="BASE",$L341/$E341,$L341))</f>
        <v/>
      </c>
      <c r="O341" s="22">
        <f>IF($J341&lt;&gt;"",$J341,IF(OR($E341="",$G341="",$H341="",$L341=""),"",($G341-$E341)*IF($C341="فروش",-1,1)*$H341*IF($M341="BASE",$L341/$G341,$L341)))</f>
        <v/>
      </c>
      <c r="P341" s="22">
        <f>IF($O341="","",$O341-N($I341))</f>
        <v/>
      </c>
      <c r="Q341" s="23">
        <f>IF(OR($P341="",$N341="",$N341=0),"",$P341/$N341)</f>
        <v/>
      </c>
      <c r="R341" s="21">
        <f>IF($P341="","",IF($P341&gt;0,"برد",IF($P341&lt;0,"باخت","سر به سر")))</f>
        <v/>
      </c>
      <c r="S341" s="22">
        <f>IF($P341="","",SUM($P$5:$P341))</f>
        <v/>
      </c>
      <c r="T341" s="24">
        <f>IF($R341="باخت",N($T340)+1,0)</f>
        <v/>
      </c>
      <c r="U341" s="22">
        <f>IF($S341="","",$S341-MAX($S$5:$S341))</f>
        <v/>
      </c>
    </row>
    <row r="342">
      <c r="A342" s="14" t="n"/>
      <c r="B342" s="15" t="n"/>
      <c r="C342" s="15" t="n"/>
      <c r="D342" s="15" t="n"/>
      <c r="E342" s="16" t="n"/>
      <c r="F342" s="16" t="n"/>
      <c r="G342" s="16" t="n"/>
      <c r="H342" s="17" t="n"/>
      <c r="I342" s="18" t="n"/>
      <c r="J342" s="18" t="n"/>
      <c r="K342" s="19" t="n"/>
      <c r="L342" s="20">
        <f>IF($B342="","",IFERROR(VLOOKUP($B342,'تنظیمات'!$A$4:$C$43,2,FALSE),1))</f>
        <v/>
      </c>
      <c r="M342" s="21">
        <f>IF($B342="","",IFERROR(VLOOKUP($B342,'تنظیمات'!$A$4:$C$43,3,FALSE),"USD"))</f>
        <v/>
      </c>
      <c r="N342" s="22">
        <f>IF(OR($E342="",$F342="",$H342="",$L342=""),"",ABS($E342-$F342)*$H342*IF($M342="BASE",$L342/$E342,$L342))</f>
        <v/>
      </c>
      <c r="O342" s="22">
        <f>IF($J342&lt;&gt;"",$J342,IF(OR($E342="",$G342="",$H342="",$L342=""),"",($G342-$E342)*IF($C342="فروش",-1,1)*$H342*IF($M342="BASE",$L342/$G342,$L342)))</f>
        <v/>
      </c>
      <c r="P342" s="22">
        <f>IF($O342="","",$O342-N($I342))</f>
        <v/>
      </c>
      <c r="Q342" s="23">
        <f>IF(OR($P342="",$N342="",$N342=0),"",$P342/$N342)</f>
        <v/>
      </c>
      <c r="R342" s="21">
        <f>IF($P342="","",IF($P342&gt;0,"برد",IF($P342&lt;0,"باخت","سر به سر")))</f>
        <v/>
      </c>
      <c r="S342" s="22">
        <f>IF($P342="","",SUM($P$5:$P342))</f>
        <v/>
      </c>
      <c r="T342" s="24">
        <f>IF($R342="باخت",N($T341)+1,0)</f>
        <v/>
      </c>
      <c r="U342" s="22">
        <f>IF($S342="","",$S342-MAX($S$5:$S342))</f>
        <v/>
      </c>
    </row>
    <row r="343">
      <c r="A343" s="14" t="n"/>
      <c r="B343" s="15" t="n"/>
      <c r="C343" s="15" t="n"/>
      <c r="D343" s="15" t="n"/>
      <c r="E343" s="16" t="n"/>
      <c r="F343" s="16" t="n"/>
      <c r="G343" s="16" t="n"/>
      <c r="H343" s="17" t="n"/>
      <c r="I343" s="18" t="n"/>
      <c r="J343" s="18" t="n"/>
      <c r="K343" s="19" t="n"/>
      <c r="L343" s="20">
        <f>IF($B343="","",IFERROR(VLOOKUP($B343,'تنظیمات'!$A$4:$C$43,2,FALSE),1))</f>
        <v/>
      </c>
      <c r="M343" s="21">
        <f>IF($B343="","",IFERROR(VLOOKUP($B343,'تنظیمات'!$A$4:$C$43,3,FALSE),"USD"))</f>
        <v/>
      </c>
      <c r="N343" s="22">
        <f>IF(OR($E343="",$F343="",$H343="",$L343=""),"",ABS($E343-$F343)*$H343*IF($M343="BASE",$L343/$E343,$L343))</f>
        <v/>
      </c>
      <c r="O343" s="22">
        <f>IF($J343&lt;&gt;"",$J343,IF(OR($E343="",$G343="",$H343="",$L343=""),"",($G343-$E343)*IF($C343="فروش",-1,1)*$H343*IF($M343="BASE",$L343/$G343,$L343)))</f>
        <v/>
      </c>
      <c r="P343" s="22">
        <f>IF($O343="","",$O343-N($I343))</f>
        <v/>
      </c>
      <c r="Q343" s="23">
        <f>IF(OR($P343="",$N343="",$N343=0),"",$P343/$N343)</f>
        <v/>
      </c>
      <c r="R343" s="21">
        <f>IF($P343="","",IF($P343&gt;0,"برد",IF($P343&lt;0,"باخت","سر به سر")))</f>
        <v/>
      </c>
      <c r="S343" s="22">
        <f>IF($P343="","",SUM($P$5:$P343))</f>
        <v/>
      </c>
      <c r="T343" s="24">
        <f>IF($R343="باخت",N($T342)+1,0)</f>
        <v/>
      </c>
      <c r="U343" s="22">
        <f>IF($S343="","",$S343-MAX($S$5:$S343))</f>
        <v/>
      </c>
    </row>
    <row r="344">
      <c r="A344" s="14" t="n"/>
      <c r="B344" s="15" t="n"/>
      <c r="C344" s="15" t="n"/>
      <c r="D344" s="15" t="n"/>
      <c r="E344" s="16" t="n"/>
      <c r="F344" s="16" t="n"/>
      <c r="G344" s="16" t="n"/>
      <c r="H344" s="17" t="n"/>
      <c r="I344" s="18" t="n"/>
      <c r="J344" s="18" t="n"/>
      <c r="K344" s="19" t="n"/>
      <c r="L344" s="20">
        <f>IF($B344="","",IFERROR(VLOOKUP($B344,'تنظیمات'!$A$4:$C$43,2,FALSE),1))</f>
        <v/>
      </c>
      <c r="M344" s="21">
        <f>IF($B344="","",IFERROR(VLOOKUP($B344,'تنظیمات'!$A$4:$C$43,3,FALSE),"USD"))</f>
        <v/>
      </c>
      <c r="N344" s="22">
        <f>IF(OR($E344="",$F344="",$H344="",$L344=""),"",ABS($E344-$F344)*$H344*IF($M344="BASE",$L344/$E344,$L344))</f>
        <v/>
      </c>
      <c r="O344" s="22">
        <f>IF($J344&lt;&gt;"",$J344,IF(OR($E344="",$G344="",$H344="",$L344=""),"",($G344-$E344)*IF($C344="فروش",-1,1)*$H344*IF($M344="BASE",$L344/$G344,$L344)))</f>
        <v/>
      </c>
      <c r="P344" s="22">
        <f>IF($O344="","",$O344-N($I344))</f>
        <v/>
      </c>
      <c r="Q344" s="23">
        <f>IF(OR($P344="",$N344="",$N344=0),"",$P344/$N344)</f>
        <v/>
      </c>
      <c r="R344" s="21">
        <f>IF($P344="","",IF($P344&gt;0,"برد",IF($P344&lt;0,"باخت","سر به سر")))</f>
        <v/>
      </c>
      <c r="S344" s="22">
        <f>IF($P344="","",SUM($P$5:$P344))</f>
        <v/>
      </c>
      <c r="T344" s="24">
        <f>IF($R344="باخت",N($T343)+1,0)</f>
        <v/>
      </c>
      <c r="U344" s="22">
        <f>IF($S344="","",$S344-MAX($S$5:$S344))</f>
        <v/>
      </c>
    </row>
    <row r="345">
      <c r="A345" s="14" t="n"/>
      <c r="B345" s="15" t="n"/>
      <c r="C345" s="15" t="n"/>
      <c r="D345" s="15" t="n"/>
      <c r="E345" s="16" t="n"/>
      <c r="F345" s="16" t="n"/>
      <c r="G345" s="16" t="n"/>
      <c r="H345" s="17" t="n"/>
      <c r="I345" s="18" t="n"/>
      <c r="J345" s="18" t="n"/>
      <c r="K345" s="19" t="n"/>
      <c r="L345" s="20">
        <f>IF($B345="","",IFERROR(VLOOKUP($B345,'تنظیمات'!$A$4:$C$43,2,FALSE),1))</f>
        <v/>
      </c>
      <c r="M345" s="21">
        <f>IF($B345="","",IFERROR(VLOOKUP($B345,'تنظیمات'!$A$4:$C$43,3,FALSE),"USD"))</f>
        <v/>
      </c>
      <c r="N345" s="22">
        <f>IF(OR($E345="",$F345="",$H345="",$L345=""),"",ABS($E345-$F345)*$H345*IF($M345="BASE",$L345/$E345,$L345))</f>
        <v/>
      </c>
      <c r="O345" s="22">
        <f>IF($J345&lt;&gt;"",$J345,IF(OR($E345="",$G345="",$H345="",$L345=""),"",($G345-$E345)*IF($C345="فروش",-1,1)*$H345*IF($M345="BASE",$L345/$G345,$L345)))</f>
        <v/>
      </c>
      <c r="P345" s="22">
        <f>IF($O345="","",$O345-N($I345))</f>
        <v/>
      </c>
      <c r="Q345" s="23">
        <f>IF(OR($P345="",$N345="",$N345=0),"",$P345/$N345)</f>
        <v/>
      </c>
      <c r="R345" s="21">
        <f>IF($P345="","",IF($P345&gt;0,"برد",IF($P345&lt;0,"باخت","سر به سر")))</f>
        <v/>
      </c>
      <c r="S345" s="22">
        <f>IF($P345="","",SUM($P$5:$P345))</f>
        <v/>
      </c>
      <c r="T345" s="24">
        <f>IF($R345="باخت",N($T344)+1,0)</f>
        <v/>
      </c>
      <c r="U345" s="22">
        <f>IF($S345="","",$S345-MAX($S$5:$S345))</f>
        <v/>
      </c>
    </row>
    <row r="346">
      <c r="A346" s="14" t="n"/>
      <c r="B346" s="15" t="n"/>
      <c r="C346" s="15" t="n"/>
      <c r="D346" s="15" t="n"/>
      <c r="E346" s="16" t="n"/>
      <c r="F346" s="16" t="n"/>
      <c r="G346" s="16" t="n"/>
      <c r="H346" s="17" t="n"/>
      <c r="I346" s="18" t="n"/>
      <c r="J346" s="18" t="n"/>
      <c r="K346" s="19" t="n"/>
      <c r="L346" s="20">
        <f>IF($B346="","",IFERROR(VLOOKUP($B346,'تنظیمات'!$A$4:$C$43,2,FALSE),1))</f>
        <v/>
      </c>
      <c r="M346" s="21">
        <f>IF($B346="","",IFERROR(VLOOKUP($B346,'تنظیمات'!$A$4:$C$43,3,FALSE),"USD"))</f>
        <v/>
      </c>
      <c r="N346" s="22">
        <f>IF(OR($E346="",$F346="",$H346="",$L346=""),"",ABS($E346-$F346)*$H346*IF($M346="BASE",$L346/$E346,$L346))</f>
        <v/>
      </c>
      <c r="O346" s="22">
        <f>IF($J346&lt;&gt;"",$J346,IF(OR($E346="",$G346="",$H346="",$L346=""),"",($G346-$E346)*IF($C346="فروش",-1,1)*$H346*IF($M346="BASE",$L346/$G346,$L346)))</f>
        <v/>
      </c>
      <c r="P346" s="22">
        <f>IF($O346="","",$O346-N($I346))</f>
        <v/>
      </c>
      <c r="Q346" s="23">
        <f>IF(OR($P346="",$N346="",$N346=0),"",$P346/$N346)</f>
        <v/>
      </c>
      <c r="R346" s="21">
        <f>IF($P346="","",IF($P346&gt;0,"برد",IF($P346&lt;0,"باخت","سر به سر")))</f>
        <v/>
      </c>
      <c r="S346" s="22">
        <f>IF($P346="","",SUM($P$5:$P346))</f>
        <v/>
      </c>
      <c r="T346" s="24">
        <f>IF($R346="باخت",N($T345)+1,0)</f>
        <v/>
      </c>
      <c r="U346" s="22">
        <f>IF($S346="","",$S346-MAX($S$5:$S346))</f>
        <v/>
      </c>
    </row>
    <row r="347">
      <c r="A347" s="14" t="n"/>
      <c r="B347" s="15" t="n"/>
      <c r="C347" s="15" t="n"/>
      <c r="D347" s="15" t="n"/>
      <c r="E347" s="16" t="n"/>
      <c r="F347" s="16" t="n"/>
      <c r="G347" s="16" t="n"/>
      <c r="H347" s="17" t="n"/>
      <c r="I347" s="18" t="n"/>
      <c r="J347" s="18" t="n"/>
      <c r="K347" s="19" t="n"/>
      <c r="L347" s="20">
        <f>IF($B347="","",IFERROR(VLOOKUP($B347,'تنظیمات'!$A$4:$C$43,2,FALSE),1))</f>
        <v/>
      </c>
      <c r="M347" s="21">
        <f>IF($B347="","",IFERROR(VLOOKUP($B347,'تنظیمات'!$A$4:$C$43,3,FALSE),"USD"))</f>
        <v/>
      </c>
      <c r="N347" s="22">
        <f>IF(OR($E347="",$F347="",$H347="",$L347=""),"",ABS($E347-$F347)*$H347*IF($M347="BASE",$L347/$E347,$L347))</f>
        <v/>
      </c>
      <c r="O347" s="22">
        <f>IF($J347&lt;&gt;"",$J347,IF(OR($E347="",$G347="",$H347="",$L347=""),"",($G347-$E347)*IF($C347="فروش",-1,1)*$H347*IF($M347="BASE",$L347/$G347,$L347)))</f>
        <v/>
      </c>
      <c r="P347" s="22">
        <f>IF($O347="","",$O347-N($I347))</f>
        <v/>
      </c>
      <c r="Q347" s="23">
        <f>IF(OR($P347="",$N347="",$N347=0),"",$P347/$N347)</f>
        <v/>
      </c>
      <c r="R347" s="21">
        <f>IF($P347="","",IF($P347&gt;0,"برد",IF($P347&lt;0,"باخت","سر به سر")))</f>
        <v/>
      </c>
      <c r="S347" s="22">
        <f>IF($P347="","",SUM($P$5:$P347))</f>
        <v/>
      </c>
      <c r="T347" s="24">
        <f>IF($R347="باخت",N($T346)+1,0)</f>
        <v/>
      </c>
      <c r="U347" s="22">
        <f>IF($S347="","",$S347-MAX($S$5:$S347))</f>
        <v/>
      </c>
    </row>
    <row r="348">
      <c r="A348" s="14" t="n"/>
      <c r="B348" s="15" t="n"/>
      <c r="C348" s="15" t="n"/>
      <c r="D348" s="15" t="n"/>
      <c r="E348" s="16" t="n"/>
      <c r="F348" s="16" t="n"/>
      <c r="G348" s="16" t="n"/>
      <c r="H348" s="17" t="n"/>
      <c r="I348" s="18" t="n"/>
      <c r="J348" s="18" t="n"/>
      <c r="K348" s="19" t="n"/>
      <c r="L348" s="20">
        <f>IF($B348="","",IFERROR(VLOOKUP($B348,'تنظیمات'!$A$4:$C$43,2,FALSE),1))</f>
        <v/>
      </c>
      <c r="M348" s="21">
        <f>IF($B348="","",IFERROR(VLOOKUP($B348,'تنظیمات'!$A$4:$C$43,3,FALSE),"USD"))</f>
        <v/>
      </c>
      <c r="N348" s="22">
        <f>IF(OR($E348="",$F348="",$H348="",$L348=""),"",ABS($E348-$F348)*$H348*IF($M348="BASE",$L348/$E348,$L348))</f>
        <v/>
      </c>
      <c r="O348" s="22">
        <f>IF($J348&lt;&gt;"",$J348,IF(OR($E348="",$G348="",$H348="",$L348=""),"",($G348-$E348)*IF($C348="فروش",-1,1)*$H348*IF($M348="BASE",$L348/$G348,$L348)))</f>
        <v/>
      </c>
      <c r="P348" s="22">
        <f>IF($O348="","",$O348-N($I348))</f>
        <v/>
      </c>
      <c r="Q348" s="23">
        <f>IF(OR($P348="",$N348="",$N348=0),"",$P348/$N348)</f>
        <v/>
      </c>
      <c r="R348" s="21">
        <f>IF($P348="","",IF($P348&gt;0,"برد",IF($P348&lt;0,"باخت","سر به سر")))</f>
        <v/>
      </c>
      <c r="S348" s="22">
        <f>IF($P348="","",SUM($P$5:$P348))</f>
        <v/>
      </c>
      <c r="T348" s="24">
        <f>IF($R348="باخت",N($T347)+1,0)</f>
        <v/>
      </c>
      <c r="U348" s="22">
        <f>IF($S348="","",$S348-MAX($S$5:$S348))</f>
        <v/>
      </c>
    </row>
    <row r="349">
      <c r="A349" s="14" t="n"/>
      <c r="B349" s="15" t="n"/>
      <c r="C349" s="15" t="n"/>
      <c r="D349" s="15" t="n"/>
      <c r="E349" s="16" t="n"/>
      <c r="F349" s="16" t="n"/>
      <c r="G349" s="16" t="n"/>
      <c r="H349" s="17" t="n"/>
      <c r="I349" s="18" t="n"/>
      <c r="J349" s="18" t="n"/>
      <c r="K349" s="19" t="n"/>
      <c r="L349" s="20">
        <f>IF($B349="","",IFERROR(VLOOKUP($B349,'تنظیمات'!$A$4:$C$43,2,FALSE),1))</f>
        <v/>
      </c>
      <c r="M349" s="21">
        <f>IF($B349="","",IFERROR(VLOOKUP($B349,'تنظیمات'!$A$4:$C$43,3,FALSE),"USD"))</f>
        <v/>
      </c>
      <c r="N349" s="22">
        <f>IF(OR($E349="",$F349="",$H349="",$L349=""),"",ABS($E349-$F349)*$H349*IF($M349="BASE",$L349/$E349,$L349))</f>
        <v/>
      </c>
      <c r="O349" s="22">
        <f>IF($J349&lt;&gt;"",$J349,IF(OR($E349="",$G349="",$H349="",$L349=""),"",($G349-$E349)*IF($C349="فروش",-1,1)*$H349*IF($M349="BASE",$L349/$G349,$L349)))</f>
        <v/>
      </c>
      <c r="P349" s="22">
        <f>IF($O349="","",$O349-N($I349))</f>
        <v/>
      </c>
      <c r="Q349" s="23">
        <f>IF(OR($P349="",$N349="",$N349=0),"",$P349/$N349)</f>
        <v/>
      </c>
      <c r="R349" s="21">
        <f>IF($P349="","",IF($P349&gt;0,"برد",IF($P349&lt;0,"باخت","سر به سر")))</f>
        <v/>
      </c>
      <c r="S349" s="22">
        <f>IF($P349="","",SUM($P$5:$P349))</f>
        <v/>
      </c>
      <c r="T349" s="24">
        <f>IF($R349="باخت",N($T348)+1,0)</f>
        <v/>
      </c>
      <c r="U349" s="22">
        <f>IF($S349="","",$S349-MAX($S$5:$S349))</f>
        <v/>
      </c>
    </row>
    <row r="350">
      <c r="A350" s="14" t="n"/>
      <c r="B350" s="15" t="n"/>
      <c r="C350" s="15" t="n"/>
      <c r="D350" s="15" t="n"/>
      <c r="E350" s="16" t="n"/>
      <c r="F350" s="16" t="n"/>
      <c r="G350" s="16" t="n"/>
      <c r="H350" s="17" t="n"/>
      <c r="I350" s="18" t="n"/>
      <c r="J350" s="18" t="n"/>
      <c r="K350" s="19" t="n"/>
      <c r="L350" s="20">
        <f>IF($B350="","",IFERROR(VLOOKUP($B350,'تنظیمات'!$A$4:$C$43,2,FALSE),1))</f>
        <v/>
      </c>
      <c r="M350" s="21">
        <f>IF($B350="","",IFERROR(VLOOKUP($B350,'تنظیمات'!$A$4:$C$43,3,FALSE),"USD"))</f>
        <v/>
      </c>
      <c r="N350" s="22">
        <f>IF(OR($E350="",$F350="",$H350="",$L350=""),"",ABS($E350-$F350)*$H350*IF($M350="BASE",$L350/$E350,$L350))</f>
        <v/>
      </c>
      <c r="O350" s="22">
        <f>IF($J350&lt;&gt;"",$J350,IF(OR($E350="",$G350="",$H350="",$L350=""),"",($G350-$E350)*IF($C350="فروش",-1,1)*$H350*IF($M350="BASE",$L350/$G350,$L350)))</f>
        <v/>
      </c>
      <c r="P350" s="22">
        <f>IF($O350="","",$O350-N($I350))</f>
        <v/>
      </c>
      <c r="Q350" s="23">
        <f>IF(OR($P350="",$N350="",$N350=0),"",$P350/$N350)</f>
        <v/>
      </c>
      <c r="R350" s="21">
        <f>IF($P350="","",IF($P350&gt;0,"برد",IF($P350&lt;0,"باخت","سر به سر")))</f>
        <v/>
      </c>
      <c r="S350" s="22">
        <f>IF($P350="","",SUM($P$5:$P350))</f>
        <v/>
      </c>
      <c r="T350" s="24">
        <f>IF($R350="باخت",N($T349)+1,0)</f>
        <v/>
      </c>
      <c r="U350" s="22">
        <f>IF($S350="","",$S350-MAX($S$5:$S350))</f>
        <v/>
      </c>
    </row>
    <row r="351">
      <c r="A351" s="14" t="n"/>
      <c r="B351" s="15" t="n"/>
      <c r="C351" s="15" t="n"/>
      <c r="D351" s="15" t="n"/>
      <c r="E351" s="16" t="n"/>
      <c r="F351" s="16" t="n"/>
      <c r="G351" s="16" t="n"/>
      <c r="H351" s="17" t="n"/>
      <c r="I351" s="18" t="n"/>
      <c r="J351" s="18" t="n"/>
      <c r="K351" s="19" t="n"/>
      <c r="L351" s="20">
        <f>IF($B351="","",IFERROR(VLOOKUP($B351,'تنظیمات'!$A$4:$C$43,2,FALSE),1))</f>
        <v/>
      </c>
      <c r="M351" s="21">
        <f>IF($B351="","",IFERROR(VLOOKUP($B351,'تنظیمات'!$A$4:$C$43,3,FALSE),"USD"))</f>
        <v/>
      </c>
      <c r="N351" s="22">
        <f>IF(OR($E351="",$F351="",$H351="",$L351=""),"",ABS($E351-$F351)*$H351*IF($M351="BASE",$L351/$E351,$L351))</f>
        <v/>
      </c>
      <c r="O351" s="22">
        <f>IF($J351&lt;&gt;"",$J351,IF(OR($E351="",$G351="",$H351="",$L351=""),"",($G351-$E351)*IF($C351="فروش",-1,1)*$H351*IF($M351="BASE",$L351/$G351,$L351)))</f>
        <v/>
      </c>
      <c r="P351" s="22">
        <f>IF($O351="","",$O351-N($I351))</f>
        <v/>
      </c>
      <c r="Q351" s="23">
        <f>IF(OR($P351="",$N351="",$N351=0),"",$P351/$N351)</f>
        <v/>
      </c>
      <c r="R351" s="21">
        <f>IF($P351="","",IF($P351&gt;0,"برد",IF($P351&lt;0,"باخت","سر به سر")))</f>
        <v/>
      </c>
      <c r="S351" s="22">
        <f>IF($P351="","",SUM($P$5:$P351))</f>
        <v/>
      </c>
      <c r="T351" s="24">
        <f>IF($R351="باخت",N($T350)+1,0)</f>
        <v/>
      </c>
      <c r="U351" s="22">
        <f>IF($S351="","",$S351-MAX($S$5:$S351))</f>
        <v/>
      </c>
    </row>
    <row r="352">
      <c r="A352" s="14" t="n"/>
      <c r="B352" s="15" t="n"/>
      <c r="C352" s="15" t="n"/>
      <c r="D352" s="15" t="n"/>
      <c r="E352" s="16" t="n"/>
      <c r="F352" s="16" t="n"/>
      <c r="G352" s="16" t="n"/>
      <c r="H352" s="17" t="n"/>
      <c r="I352" s="18" t="n"/>
      <c r="J352" s="18" t="n"/>
      <c r="K352" s="19" t="n"/>
      <c r="L352" s="20">
        <f>IF($B352="","",IFERROR(VLOOKUP($B352,'تنظیمات'!$A$4:$C$43,2,FALSE),1))</f>
        <v/>
      </c>
      <c r="M352" s="21">
        <f>IF($B352="","",IFERROR(VLOOKUP($B352,'تنظیمات'!$A$4:$C$43,3,FALSE),"USD"))</f>
        <v/>
      </c>
      <c r="N352" s="22">
        <f>IF(OR($E352="",$F352="",$H352="",$L352=""),"",ABS($E352-$F352)*$H352*IF($M352="BASE",$L352/$E352,$L352))</f>
        <v/>
      </c>
      <c r="O352" s="22">
        <f>IF($J352&lt;&gt;"",$J352,IF(OR($E352="",$G352="",$H352="",$L352=""),"",($G352-$E352)*IF($C352="فروش",-1,1)*$H352*IF($M352="BASE",$L352/$G352,$L352)))</f>
        <v/>
      </c>
      <c r="P352" s="22">
        <f>IF($O352="","",$O352-N($I352))</f>
        <v/>
      </c>
      <c r="Q352" s="23">
        <f>IF(OR($P352="",$N352="",$N352=0),"",$P352/$N352)</f>
        <v/>
      </c>
      <c r="R352" s="21">
        <f>IF($P352="","",IF($P352&gt;0,"برد",IF($P352&lt;0,"باخت","سر به سر")))</f>
        <v/>
      </c>
      <c r="S352" s="22">
        <f>IF($P352="","",SUM($P$5:$P352))</f>
        <v/>
      </c>
      <c r="T352" s="24">
        <f>IF($R352="باخت",N($T351)+1,0)</f>
        <v/>
      </c>
      <c r="U352" s="22">
        <f>IF($S352="","",$S352-MAX($S$5:$S352))</f>
        <v/>
      </c>
    </row>
    <row r="353">
      <c r="A353" s="14" t="n"/>
      <c r="B353" s="15" t="n"/>
      <c r="C353" s="15" t="n"/>
      <c r="D353" s="15" t="n"/>
      <c r="E353" s="16" t="n"/>
      <c r="F353" s="16" t="n"/>
      <c r="G353" s="16" t="n"/>
      <c r="H353" s="17" t="n"/>
      <c r="I353" s="18" t="n"/>
      <c r="J353" s="18" t="n"/>
      <c r="K353" s="19" t="n"/>
      <c r="L353" s="20">
        <f>IF($B353="","",IFERROR(VLOOKUP($B353,'تنظیمات'!$A$4:$C$43,2,FALSE),1))</f>
        <v/>
      </c>
      <c r="M353" s="21">
        <f>IF($B353="","",IFERROR(VLOOKUP($B353,'تنظیمات'!$A$4:$C$43,3,FALSE),"USD"))</f>
        <v/>
      </c>
      <c r="N353" s="22">
        <f>IF(OR($E353="",$F353="",$H353="",$L353=""),"",ABS($E353-$F353)*$H353*IF($M353="BASE",$L353/$E353,$L353))</f>
        <v/>
      </c>
      <c r="O353" s="22">
        <f>IF($J353&lt;&gt;"",$J353,IF(OR($E353="",$G353="",$H353="",$L353=""),"",($G353-$E353)*IF($C353="فروش",-1,1)*$H353*IF($M353="BASE",$L353/$G353,$L353)))</f>
        <v/>
      </c>
      <c r="P353" s="22">
        <f>IF($O353="","",$O353-N($I353))</f>
        <v/>
      </c>
      <c r="Q353" s="23">
        <f>IF(OR($P353="",$N353="",$N353=0),"",$P353/$N353)</f>
        <v/>
      </c>
      <c r="R353" s="21">
        <f>IF($P353="","",IF($P353&gt;0,"برد",IF($P353&lt;0,"باخت","سر به سر")))</f>
        <v/>
      </c>
      <c r="S353" s="22">
        <f>IF($P353="","",SUM($P$5:$P353))</f>
        <v/>
      </c>
      <c r="T353" s="24">
        <f>IF($R353="باخت",N($T352)+1,0)</f>
        <v/>
      </c>
      <c r="U353" s="22">
        <f>IF($S353="","",$S353-MAX($S$5:$S353))</f>
        <v/>
      </c>
    </row>
    <row r="354">
      <c r="A354" s="14" t="n"/>
      <c r="B354" s="15" t="n"/>
      <c r="C354" s="15" t="n"/>
      <c r="D354" s="15" t="n"/>
      <c r="E354" s="16" t="n"/>
      <c r="F354" s="16" t="n"/>
      <c r="G354" s="16" t="n"/>
      <c r="H354" s="17" t="n"/>
      <c r="I354" s="18" t="n"/>
      <c r="J354" s="18" t="n"/>
      <c r="K354" s="19" t="n"/>
      <c r="L354" s="20">
        <f>IF($B354="","",IFERROR(VLOOKUP($B354,'تنظیمات'!$A$4:$C$43,2,FALSE),1))</f>
        <v/>
      </c>
      <c r="M354" s="21">
        <f>IF($B354="","",IFERROR(VLOOKUP($B354,'تنظیمات'!$A$4:$C$43,3,FALSE),"USD"))</f>
        <v/>
      </c>
      <c r="N354" s="22">
        <f>IF(OR($E354="",$F354="",$H354="",$L354=""),"",ABS($E354-$F354)*$H354*IF($M354="BASE",$L354/$E354,$L354))</f>
        <v/>
      </c>
      <c r="O354" s="22">
        <f>IF($J354&lt;&gt;"",$J354,IF(OR($E354="",$G354="",$H354="",$L354=""),"",($G354-$E354)*IF($C354="فروش",-1,1)*$H354*IF($M354="BASE",$L354/$G354,$L354)))</f>
        <v/>
      </c>
      <c r="P354" s="22">
        <f>IF($O354="","",$O354-N($I354))</f>
        <v/>
      </c>
      <c r="Q354" s="23">
        <f>IF(OR($P354="",$N354="",$N354=0),"",$P354/$N354)</f>
        <v/>
      </c>
      <c r="R354" s="21">
        <f>IF($P354="","",IF($P354&gt;0,"برد",IF($P354&lt;0,"باخت","سر به سر")))</f>
        <v/>
      </c>
      <c r="S354" s="22">
        <f>IF($P354="","",SUM($P$5:$P354))</f>
        <v/>
      </c>
      <c r="T354" s="24">
        <f>IF($R354="باخت",N($T353)+1,0)</f>
        <v/>
      </c>
      <c r="U354" s="22">
        <f>IF($S354="","",$S354-MAX($S$5:$S354))</f>
        <v/>
      </c>
    </row>
    <row r="355">
      <c r="A355" s="14" t="n"/>
      <c r="B355" s="15" t="n"/>
      <c r="C355" s="15" t="n"/>
      <c r="D355" s="15" t="n"/>
      <c r="E355" s="16" t="n"/>
      <c r="F355" s="16" t="n"/>
      <c r="G355" s="16" t="n"/>
      <c r="H355" s="17" t="n"/>
      <c r="I355" s="18" t="n"/>
      <c r="J355" s="18" t="n"/>
      <c r="K355" s="19" t="n"/>
      <c r="L355" s="20">
        <f>IF($B355="","",IFERROR(VLOOKUP($B355,'تنظیمات'!$A$4:$C$43,2,FALSE),1))</f>
        <v/>
      </c>
      <c r="M355" s="21">
        <f>IF($B355="","",IFERROR(VLOOKUP($B355,'تنظیمات'!$A$4:$C$43,3,FALSE),"USD"))</f>
        <v/>
      </c>
      <c r="N355" s="22">
        <f>IF(OR($E355="",$F355="",$H355="",$L355=""),"",ABS($E355-$F355)*$H355*IF($M355="BASE",$L355/$E355,$L355))</f>
        <v/>
      </c>
      <c r="O355" s="22">
        <f>IF($J355&lt;&gt;"",$J355,IF(OR($E355="",$G355="",$H355="",$L355=""),"",($G355-$E355)*IF($C355="فروش",-1,1)*$H355*IF($M355="BASE",$L355/$G355,$L355)))</f>
        <v/>
      </c>
      <c r="P355" s="22">
        <f>IF($O355="","",$O355-N($I355))</f>
        <v/>
      </c>
      <c r="Q355" s="23">
        <f>IF(OR($P355="",$N355="",$N355=0),"",$P355/$N355)</f>
        <v/>
      </c>
      <c r="R355" s="21">
        <f>IF($P355="","",IF($P355&gt;0,"برد",IF($P355&lt;0,"باخت","سر به سر")))</f>
        <v/>
      </c>
      <c r="S355" s="22">
        <f>IF($P355="","",SUM($P$5:$P355))</f>
        <v/>
      </c>
      <c r="T355" s="24">
        <f>IF($R355="باخت",N($T354)+1,0)</f>
        <v/>
      </c>
      <c r="U355" s="22">
        <f>IF($S355="","",$S355-MAX($S$5:$S355))</f>
        <v/>
      </c>
    </row>
    <row r="356">
      <c r="A356" s="14" t="n"/>
      <c r="B356" s="15" t="n"/>
      <c r="C356" s="15" t="n"/>
      <c r="D356" s="15" t="n"/>
      <c r="E356" s="16" t="n"/>
      <c r="F356" s="16" t="n"/>
      <c r="G356" s="16" t="n"/>
      <c r="H356" s="17" t="n"/>
      <c r="I356" s="18" t="n"/>
      <c r="J356" s="18" t="n"/>
      <c r="K356" s="19" t="n"/>
      <c r="L356" s="20">
        <f>IF($B356="","",IFERROR(VLOOKUP($B356,'تنظیمات'!$A$4:$C$43,2,FALSE),1))</f>
        <v/>
      </c>
      <c r="M356" s="21">
        <f>IF($B356="","",IFERROR(VLOOKUP($B356,'تنظیمات'!$A$4:$C$43,3,FALSE),"USD"))</f>
        <v/>
      </c>
      <c r="N356" s="22">
        <f>IF(OR($E356="",$F356="",$H356="",$L356=""),"",ABS($E356-$F356)*$H356*IF($M356="BASE",$L356/$E356,$L356))</f>
        <v/>
      </c>
      <c r="O356" s="22">
        <f>IF($J356&lt;&gt;"",$J356,IF(OR($E356="",$G356="",$H356="",$L356=""),"",($G356-$E356)*IF($C356="فروش",-1,1)*$H356*IF($M356="BASE",$L356/$G356,$L356)))</f>
        <v/>
      </c>
      <c r="P356" s="22">
        <f>IF($O356="","",$O356-N($I356))</f>
        <v/>
      </c>
      <c r="Q356" s="23">
        <f>IF(OR($P356="",$N356="",$N356=0),"",$P356/$N356)</f>
        <v/>
      </c>
      <c r="R356" s="21">
        <f>IF($P356="","",IF($P356&gt;0,"برد",IF($P356&lt;0,"باخت","سر به سر")))</f>
        <v/>
      </c>
      <c r="S356" s="22">
        <f>IF($P356="","",SUM($P$5:$P356))</f>
        <v/>
      </c>
      <c r="T356" s="24">
        <f>IF($R356="باخت",N($T355)+1,0)</f>
        <v/>
      </c>
      <c r="U356" s="22">
        <f>IF($S356="","",$S356-MAX($S$5:$S356))</f>
        <v/>
      </c>
    </row>
    <row r="357">
      <c r="A357" s="14" t="n"/>
      <c r="B357" s="15" t="n"/>
      <c r="C357" s="15" t="n"/>
      <c r="D357" s="15" t="n"/>
      <c r="E357" s="16" t="n"/>
      <c r="F357" s="16" t="n"/>
      <c r="G357" s="16" t="n"/>
      <c r="H357" s="17" t="n"/>
      <c r="I357" s="18" t="n"/>
      <c r="J357" s="18" t="n"/>
      <c r="K357" s="19" t="n"/>
      <c r="L357" s="20">
        <f>IF($B357="","",IFERROR(VLOOKUP($B357,'تنظیمات'!$A$4:$C$43,2,FALSE),1))</f>
        <v/>
      </c>
      <c r="M357" s="21">
        <f>IF($B357="","",IFERROR(VLOOKUP($B357,'تنظیمات'!$A$4:$C$43,3,FALSE),"USD"))</f>
        <v/>
      </c>
      <c r="N357" s="22">
        <f>IF(OR($E357="",$F357="",$H357="",$L357=""),"",ABS($E357-$F357)*$H357*IF($M357="BASE",$L357/$E357,$L357))</f>
        <v/>
      </c>
      <c r="O357" s="22">
        <f>IF($J357&lt;&gt;"",$J357,IF(OR($E357="",$G357="",$H357="",$L357=""),"",($G357-$E357)*IF($C357="فروش",-1,1)*$H357*IF($M357="BASE",$L357/$G357,$L357)))</f>
        <v/>
      </c>
      <c r="P357" s="22">
        <f>IF($O357="","",$O357-N($I357))</f>
        <v/>
      </c>
      <c r="Q357" s="23">
        <f>IF(OR($P357="",$N357="",$N357=0),"",$P357/$N357)</f>
        <v/>
      </c>
      <c r="R357" s="21">
        <f>IF($P357="","",IF($P357&gt;0,"برد",IF($P357&lt;0,"باخت","سر به سر")))</f>
        <v/>
      </c>
      <c r="S357" s="22">
        <f>IF($P357="","",SUM($P$5:$P357))</f>
        <v/>
      </c>
      <c r="T357" s="24">
        <f>IF($R357="باخت",N($T356)+1,0)</f>
        <v/>
      </c>
      <c r="U357" s="22">
        <f>IF($S357="","",$S357-MAX($S$5:$S357))</f>
        <v/>
      </c>
    </row>
    <row r="358">
      <c r="A358" s="14" t="n"/>
      <c r="B358" s="15" t="n"/>
      <c r="C358" s="15" t="n"/>
      <c r="D358" s="15" t="n"/>
      <c r="E358" s="16" t="n"/>
      <c r="F358" s="16" t="n"/>
      <c r="G358" s="16" t="n"/>
      <c r="H358" s="17" t="n"/>
      <c r="I358" s="18" t="n"/>
      <c r="J358" s="18" t="n"/>
      <c r="K358" s="19" t="n"/>
      <c r="L358" s="20">
        <f>IF($B358="","",IFERROR(VLOOKUP($B358,'تنظیمات'!$A$4:$C$43,2,FALSE),1))</f>
        <v/>
      </c>
      <c r="M358" s="21">
        <f>IF($B358="","",IFERROR(VLOOKUP($B358,'تنظیمات'!$A$4:$C$43,3,FALSE),"USD"))</f>
        <v/>
      </c>
      <c r="N358" s="22">
        <f>IF(OR($E358="",$F358="",$H358="",$L358=""),"",ABS($E358-$F358)*$H358*IF($M358="BASE",$L358/$E358,$L358))</f>
        <v/>
      </c>
      <c r="O358" s="22">
        <f>IF($J358&lt;&gt;"",$J358,IF(OR($E358="",$G358="",$H358="",$L358=""),"",($G358-$E358)*IF($C358="فروش",-1,1)*$H358*IF($M358="BASE",$L358/$G358,$L358)))</f>
        <v/>
      </c>
      <c r="P358" s="22">
        <f>IF($O358="","",$O358-N($I358))</f>
        <v/>
      </c>
      <c r="Q358" s="23">
        <f>IF(OR($P358="",$N358="",$N358=0),"",$P358/$N358)</f>
        <v/>
      </c>
      <c r="R358" s="21">
        <f>IF($P358="","",IF($P358&gt;0,"برد",IF($P358&lt;0,"باخت","سر به سر")))</f>
        <v/>
      </c>
      <c r="S358" s="22">
        <f>IF($P358="","",SUM($P$5:$P358))</f>
        <v/>
      </c>
      <c r="T358" s="24">
        <f>IF($R358="باخت",N($T357)+1,0)</f>
        <v/>
      </c>
      <c r="U358" s="22">
        <f>IF($S358="","",$S358-MAX($S$5:$S358))</f>
        <v/>
      </c>
    </row>
    <row r="359">
      <c r="A359" s="14" t="n"/>
      <c r="B359" s="15" t="n"/>
      <c r="C359" s="15" t="n"/>
      <c r="D359" s="15" t="n"/>
      <c r="E359" s="16" t="n"/>
      <c r="F359" s="16" t="n"/>
      <c r="G359" s="16" t="n"/>
      <c r="H359" s="17" t="n"/>
      <c r="I359" s="18" t="n"/>
      <c r="J359" s="18" t="n"/>
      <c r="K359" s="19" t="n"/>
      <c r="L359" s="20">
        <f>IF($B359="","",IFERROR(VLOOKUP($B359,'تنظیمات'!$A$4:$C$43,2,FALSE),1))</f>
        <v/>
      </c>
      <c r="M359" s="21">
        <f>IF($B359="","",IFERROR(VLOOKUP($B359,'تنظیمات'!$A$4:$C$43,3,FALSE),"USD"))</f>
        <v/>
      </c>
      <c r="N359" s="22">
        <f>IF(OR($E359="",$F359="",$H359="",$L359=""),"",ABS($E359-$F359)*$H359*IF($M359="BASE",$L359/$E359,$L359))</f>
        <v/>
      </c>
      <c r="O359" s="22">
        <f>IF($J359&lt;&gt;"",$J359,IF(OR($E359="",$G359="",$H359="",$L359=""),"",($G359-$E359)*IF($C359="فروش",-1,1)*$H359*IF($M359="BASE",$L359/$G359,$L359)))</f>
        <v/>
      </c>
      <c r="P359" s="22">
        <f>IF($O359="","",$O359-N($I359))</f>
        <v/>
      </c>
      <c r="Q359" s="23">
        <f>IF(OR($P359="",$N359="",$N359=0),"",$P359/$N359)</f>
        <v/>
      </c>
      <c r="R359" s="21">
        <f>IF($P359="","",IF($P359&gt;0,"برد",IF($P359&lt;0,"باخت","سر به سر")))</f>
        <v/>
      </c>
      <c r="S359" s="22">
        <f>IF($P359="","",SUM($P$5:$P359))</f>
        <v/>
      </c>
      <c r="T359" s="24">
        <f>IF($R359="باخت",N($T358)+1,0)</f>
        <v/>
      </c>
      <c r="U359" s="22">
        <f>IF($S359="","",$S359-MAX($S$5:$S359))</f>
        <v/>
      </c>
    </row>
    <row r="360">
      <c r="A360" s="14" t="n"/>
      <c r="B360" s="15" t="n"/>
      <c r="C360" s="15" t="n"/>
      <c r="D360" s="15" t="n"/>
      <c r="E360" s="16" t="n"/>
      <c r="F360" s="16" t="n"/>
      <c r="G360" s="16" t="n"/>
      <c r="H360" s="17" t="n"/>
      <c r="I360" s="18" t="n"/>
      <c r="J360" s="18" t="n"/>
      <c r="K360" s="19" t="n"/>
      <c r="L360" s="20">
        <f>IF($B360="","",IFERROR(VLOOKUP($B360,'تنظیمات'!$A$4:$C$43,2,FALSE),1))</f>
        <v/>
      </c>
      <c r="M360" s="21">
        <f>IF($B360="","",IFERROR(VLOOKUP($B360,'تنظیمات'!$A$4:$C$43,3,FALSE),"USD"))</f>
        <v/>
      </c>
      <c r="N360" s="22">
        <f>IF(OR($E360="",$F360="",$H360="",$L360=""),"",ABS($E360-$F360)*$H360*IF($M360="BASE",$L360/$E360,$L360))</f>
        <v/>
      </c>
      <c r="O360" s="22">
        <f>IF($J360&lt;&gt;"",$J360,IF(OR($E360="",$G360="",$H360="",$L360=""),"",($G360-$E360)*IF($C360="فروش",-1,1)*$H360*IF($M360="BASE",$L360/$G360,$L360)))</f>
        <v/>
      </c>
      <c r="P360" s="22">
        <f>IF($O360="","",$O360-N($I360))</f>
        <v/>
      </c>
      <c r="Q360" s="23">
        <f>IF(OR($P360="",$N360="",$N360=0),"",$P360/$N360)</f>
        <v/>
      </c>
      <c r="R360" s="21">
        <f>IF($P360="","",IF($P360&gt;0,"برد",IF($P360&lt;0,"باخت","سر به سر")))</f>
        <v/>
      </c>
      <c r="S360" s="22">
        <f>IF($P360="","",SUM($P$5:$P360))</f>
        <v/>
      </c>
      <c r="T360" s="24">
        <f>IF($R360="باخت",N($T359)+1,0)</f>
        <v/>
      </c>
      <c r="U360" s="22">
        <f>IF($S360="","",$S360-MAX($S$5:$S360))</f>
        <v/>
      </c>
    </row>
    <row r="361">
      <c r="A361" s="14" t="n"/>
      <c r="B361" s="15" t="n"/>
      <c r="C361" s="15" t="n"/>
      <c r="D361" s="15" t="n"/>
      <c r="E361" s="16" t="n"/>
      <c r="F361" s="16" t="n"/>
      <c r="G361" s="16" t="n"/>
      <c r="H361" s="17" t="n"/>
      <c r="I361" s="18" t="n"/>
      <c r="J361" s="18" t="n"/>
      <c r="K361" s="19" t="n"/>
      <c r="L361" s="20">
        <f>IF($B361="","",IFERROR(VLOOKUP($B361,'تنظیمات'!$A$4:$C$43,2,FALSE),1))</f>
        <v/>
      </c>
      <c r="M361" s="21">
        <f>IF($B361="","",IFERROR(VLOOKUP($B361,'تنظیمات'!$A$4:$C$43,3,FALSE),"USD"))</f>
        <v/>
      </c>
      <c r="N361" s="22">
        <f>IF(OR($E361="",$F361="",$H361="",$L361=""),"",ABS($E361-$F361)*$H361*IF($M361="BASE",$L361/$E361,$L361))</f>
        <v/>
      </c>
      <c r="O361" s="22">
        <f>IF($J361&lt;&gt;"",$J361,IF(OR($E361="",$G361="",$H361="",$L361=""),"",($G361-$E361)*IF($C361="فروش",-1,1)*$H361*IF($M361="BASE",$L361/$G361,$L361)))</f>
        <v/>
      </c>
      <c r="P361" s="22">
        <f>IF($O361="","",$O361-N($I361))</f>
        <v/>
      </c>
      <c r="Q361" s="23">
        <f>IF(OR($P361="",$N361="",$N361=0),"",$P361/$N361)</f>
        <v/>
      </c>
      <c r="R361" s="21">
        <f>IF($P361="","",IF($P361&gt;0,"برد",IF($P361&lt;0,"باخت","سر به سر")))</f>
        <v/>
      </c>
      <c r="S361" s="22">
        <f>IF($P361="","",SUM($P$5:$P361))</f>
        <v/>
      </c>
      <c r="T361" s="24">
        <f>IF($R361="باخت",N($T360)+1,0)</f>
        <v/>
      </c>
      <c r="U361" s="22">
        <f>IF($S361="","",$S361-MAX($S$5:$S361))</f>
        <v/>
      </c>
    </row>
    <row r="362">
      <c r="A362" s="14" t="n"/>
      <c r="B362" s="15" t="n"/>
      <c r="C362" s="15" t="n"/>
      <c r="D362" s="15" t="n"/>
      <c r="E362" s="16" t="n"/>
      <c r="F362" s="16" t="n"/>
      <c r="G362" s="16" t="n"/>
      <c r="H362" s="17" t="n"/>
      <c r="I362" s="18" t="n"/>
      <c r="J362" s="18" t="n"/>
      <c r="K362" s="19" t="n"/>
      <c r="L362" s="20">
        <f>IF($B362="","",IFERROR(VLOOKUP($B362,'تنظیمات'!$A$4:$C$43,2,FALSE),1))</f>
        <v/>
      </c>
      <c r="M362" s="21">
        <f>IF($B362="","",IFERROR(VLOOKUP($B362,'تنظیمات'!$A$4:$C$43,3,FALSE),"USD"))</f>
        <v/>
      </c>
      <c r="N362" s="22">
        <f>IF(OR($E362="",$F362="",$H362="",$L362=""),"",ABS($E362-$F362)*$H362*IF($M362="BASE",$L362/$E362,$L362))</f>
        <v/>
      </c>
      <c r="O362" s="22">
        <f>IF($J362&lt;&gt;"",$J362,IF(OR($E362="",$G362="",$H362="",$L362=""),"",($G362-$E362)*IF($C362="فروش",-1,1)*$H362*IF($M362="BASE",$L362/$G362,$L362)))</f>
        <v/>
      </c>
      <c r="P362" s="22">
        <f>IF($O362="","",$O362-N($I362))</f>
        <v/>
      </c>
      <c r="Q362" s="23">
        <f>IF(OR($P362="",$N362="",$N362=0),"",$P362/$N362)</f>
        <v/>
      </c>
      <c r="R362" s="21">
        <f>IF($P362="","",IF($P362&gt;0,"برد",IF($P362&lt;0,"باخت","سر به سر")))</f>
        <v/>
      </c>
      <c r="S362" s="22">
        <f>IF($P362="","",SUM($P$5:$P362))</f>
        <v/>
      </c>
      <c r="T362" s="24">
        <f>IF($R362="باخت",N($T361)+1,0)</f>
        <v/>
      </c>
      <c r="U362" s="22">
        <f>IF($S362="","",$S362-MAX($S$5:$S362))</f>
        <v/>
      </c>
    </row>
    <row r="363">
      <c r="A363" s="14" t="n"/>
      <c r="B363" s="15" t="n"/>
      <c r="C363" s="15" t="n"/>
      <c r="D363" s="15" t="n"/>
      <c r="E363" s="16" t="n"/>
      <c r="F363" s="16" t="n"/>
      <c r="G363" s="16" t="n"/>
      <c r="H363" s="17" t="n"/>
      <c r="I363" s="18" t="n"/>
      <c r="J363" s="18" t="n"/>
      <c r="K363" s="19" t="n"/>
      <c r="L363" s="20">
        <f>IF($B363="","",IFERROR(VLOOKUP($B363,'تنظیمات'!$A$4:$C$43,2,FALSE),1))</f>
        <v/>
      </c>
      <c r="M363" s="21">
        <f>IF($B363="","",IFERROR(VLOOKUP($B363,'تنظیمات'!$A$4:$C$43,3,FALSE),"USD"))</f>
        <v/>
      </c>
      <c r="N363" s="22">
        <f>IF(OR($E363="",$F363="",$H363="",$L363=""),"",ABS($E363-$F363)*$H363*IF($M363="BASE",$L363/$E363,$L363))</f>
        <v/>
      </c>
      <c r="O363" s="22">
        <f>IF($J363&lt;&gt;"",$J363,IF(OR($E363="",$G363="",$H363="",$L363=""),"",($G363-$E363)*IF($C363="فروش",-1,1)*$H363*IF($M363="BASE",$L363/$G363,$L363)))</f>
        <v/>
      </c>
      <c r="P363" s="22">
        <f>IF($O363="","",$O363-N($I363))</f>
        <v/>
      </c>
      <c r="Q363" s="23">
        <f>IF(OR($P363="",$N363="",$N363=0),"",$P363/$N363)</f>
        <v/>
      </c>
      <c r="R363" s="21">
        <f>IF($P363="","",IF($P363&gt;0,"برد",IF($P363&lt;0,"باخت","سر به سر")))</f>
        <v/>
      </c>
      <c r="S363" s="22">
        <f>IF($P363="","",SUM($P$5:$P363))</f>
        <v/>
      </c>
      <c r="T363" s="24">
        <f>IF($R363="باخت",N($T362)+1,0)</f>
        <v/>
      </c>
      <c r="U363" s="22">
        <f>IF($S363="","",$S363-MAX($S$5:$S363))</f>
        <v/>
      </c>
    </row>
    <row r="364">
      <c r="A364" s="14" t="n"/>
      <c r="B364" s="15" t="n"/>
      <c r="C364" s="15" t="n"/>
      <c r="D364" s="15" t="n"/>
      <c r="E364" s="16" t="n"/>
      <c r="F364" s="16" t="n"/>
      <c r="G364" s="16" t="n"/>
      <c r="H364" s="17" t="n"/>
      <c r="I364" s="18" t="n"/>
      <c r="J364" s="18" t="n"/>
      <c r="K364" s="19" t="n"/>
      <c r="L364" s="20">
        <f>IF($B364="","",IFERROR(VLOOKUP($B364,'تنظیمات'!$A$4:$C$43,2,FALSE),1))</f>
        <v/>
      </c>
      <c r="M364" s="21">
        <f>IF($B364="","",IFERROR(VLOOKUP($B364,'تنظیمات'!$A$4:$C$43,3,FALSE),"USD"))</f>
        <v/>
      </c>
      <c r="N364" s="22">
        <f>IF(OR($E364="",$F364="",$H364="",$L364=""),"",ABS($E364-$F364)*$H364*IF($M364="BASE",$L364/$E364,$L364))</f>
        <v/>
      </c>
      <c r="O364" s="22">
        <f>IF($J364&lt;&gt;"",$J364,IF(OR($E364="",$G364="",$H364="",$L364=""),"",($G364-$E364)*IF($C364="فروش",-1,1)*$H364*IF($M364="BASE",$L364/$G364,$L364)))</f>
        <v/>
      </c>
      <c r="P364" s="22">
        <f>IF($O364="","",$O364-N($I364))</f>
        <v/>
      </c>
      <c r="Q364" s="23">
        <f>IF(OR($P364="",$N364="",$N364=0),"",$P364/$N364)</f>
        <v/>
      </c>
      <c r="R364" s="21">
        <f>IF($P364="","",IF($P364&gt;0,"برد",IF($P364&lt;0,"باخت","سر به سر")))</f>
        <v/>
      </c>
      <c r="S364" s="22">
        <f>IF($P364="","",SUM($P$5:$P364))</f>
        <v/>
      </c>
      <c r="T364" s="24">
        <f>IF($R364="باخت",N($T363)+1,0)</f>
        <v/>
      </c>
      <c r="U364" s="22">
        <f>IF($S364="","",$S364-MAX($S$5:$S364))</f>
        <v/>
      </c>
    </row>
    <row r="365">
      <c r="A365" s="14" t="n"/>
      <c r="B365" s="15" t="n"/>
      <c r="C365" s="15" t="n"/>
      <c r="D365" s="15" t="n"/>
      <c r="E365" s="16" t="n"/>
      <c r="F365" s="16" t="n"/>
      <c r="G365" s="16" t="n"/>
      <c r="H365" s="17" t="n"/>
      <c r="I365" s="18" t="n"/>
      <c r="J365" s="18" t="n"/>
      <c r="K365" s="19" t="n"/>
      <c r="L365" s="20">
        <f>IF($B365="","",IFERROR(VLOOKUP($B365,'تنظیمات'!$A$4:$C$43,2,FALSE),1))</f>
        <v/>
      </c>
      <c r="M365" s="21">
        <f>IF($B365="","",IFERROR(VLOOKUP($B365,'تنظیمات'!$A$4:$C$43,3,FALSE),"USD"))</f>
        <v/>
      </c>
      <c r="N365" s="22">
        <f>IF(OR($E365="",$F365="",$H365="",$L365=""),"",ABS($E365-$F365)*$H365*IF($M365="BASE",$L365/$E365,$L365))</f>
        <v/>
      </c>
      <c r="O365" s="22">
        <f>IF($J365&lt;&gt;"",$J365,IF(OR($E365="",$G365="",$H365="",$L365=""),"",($G365-$E365)*IF($C365="فروش",-1,1)*$H365*IF($M365="BASE",$L365/$G365,$L365)))</f>
        <v/>
      </c>
      <c r="P365" s="22">
        <f>IF($O365="","",$O365-N($I365))</f>
        <v/>
      </c>
      <c r="Q365" s="23">
        <f>IF(OR($P365="",$N365="",$N365=0),"",$P365/$N365)</f>
        <v/>
      </c>
      <c r="R365" s="21">
        <f>IF($P365="","",IF($P365&gt;0,"برد",IF($P365&lt;0,"باخت","سر به سر")))</f>
        <v/>
      </c>
      <c r="S365" s="22">
        <f>IF($P365="","",SUM($P$5:$P365))</f>
        <v/>
      </c>
      <c r="T365" s="24">
        <f>IF($R365="باخت",N($T364)+1,0)</f>
        <v/>
      </c>
      <c r="U365" s="22">
        <f>IF($S365="","",$S365-MAX($S$5:$S365))</f>
        <v/>
      </c>
    </row>
    <row r="366">
      <c r="A366" s="14" t="n"/>
      <c r="B366" s="15" t="n"/>
      <c r="C366" s="15" t="n"/>
      <c r="D366" s="15" t="n"/>
      <c r="E366" s="16" t="n"/>
      <c r="F366" s="16" t="n"/>
      <c r="G366" s="16" t="n"/>
      <c r="H366" s="17" t="n"/>
      <c r="I366" s="18" t="n"/>
      <c r="J366" s="18" t="n"/>
      <c r="K366" s="19" t="n"/>
      <c r="L366" s="20">
        <f>IF($B366="","",IFERROR(VLOOKUP($B366,'تنظیمات'!$A$4:$C$43,2,FALSE),1))</f>
        <v/>
      </c>
      <c r="M366" s="21">
        <f>IF($B366="","",IFERROR(VLOOKUP($B366,'تنظیمات'!$A$4:$C$43,3,FALSE),"USD"))</f>
        <v/>
      </c>
      <c r="N366" s="22">
        <f>IF(OR($E366="",$F366="",$H366="",$L366=""),"",ABS($E366-$F366)*$H366*IF($M366="BASE",$L366/$E366,$L366))</f>
        <v/>
      </c>
      <c r="O366" s="22">
        <f>IF($J366&lt;&gt;"",$J366,IF(OR($E366="",$G366="",$H366="",$L366=""),"",($G366-$E366)*IF($C366="فروش",-1,1)*$H366*IF($M366="BASE",$L366/$G366,$L366)))</f>
        <v/>
      </c>
      <c r="P366" s="22">
        <f>IF($O366="","",$O366-N($I366))</f>
        <v/>
      </c>
      <c r="Q366" s="23">
        <f>IF(OR($P366="",$N366="",$N366=0),"",$P366/$N366)</f>
        <v/>
      </c>
      <c r="R366" s="21">
        <f>IF($P366="","",IF($P366&gt;0,"برد",IF($P366&lt;0,"باخت","سر به سر")))</f>
        <v/>
      </c>
      <c r="S366" s="22">
        <f>IF($P366="","",SUM($P$5:$P366))</f>
        <v/>
      </c>
      <c r="T366" s="24">
        <f>IF($R366="باخت",N($T365)+1,0)</f>
        <v/>
      </c>
      <c r="U366" s="22">
        <f>IF($S366="","",$S366-MAX($S$5:$S366))</f>
        <v/>
      </c>
    </row>
    <row r="367">
      <c r="A367" s="14" t="n"/>
      <c r="B367" s="15" t="n"/>
      <c r="C367" s="15" t="n"/>
      <c r="D367" s="15" t="n"/>
      <c r="E367" s="16" t="n"/>
      <c r="F367" s="16" t="n"/>
      <c r="G367" s="16" t="n"/>
      <c r="H367" s="17" t="n"/>
      <c r="I367" s="18" t="n"/>
      <c r="J367" s="18" t="n"/>
      <c r="K367" s="19" t="n"/>
      <c r="L367" s="20">
        <f>IF($B367="","",IFERROR(VLOOKUP($B367,'تنظیمات'!$A$4:$C$43,2,FALSE),1))</f>
        <v/>
      </c>
      <c r="M367" s="21">
        <f>IF($B367="","",IFERROR(VLOOKUP($B367,'تنظیمات'!$A$4:$C$43,3,FALSE),"USD"))</f>
        <v/>
      </c>
      <c r="N367" s="22">
        <f>IF(OR($E367="",$F367="",$H367="",$L367=""),"",ABS($E367-$F367)*$H367*IF($M367="BASE",$L367/$E367,$L367))</f>
        <v/>
      </c>
      <c r="O367" s="22">
        <f>IF($J367&lt;&gt;"",$J367,IF(OR($E367="",$G367="",$H367="",$L367=""),"",($G367-$E367)*IF($C367="فروش",-1,1)*$H367*IF($M367="BASE",$L367/$G367,$L367)))</f>
        <v/>
      </c>
      <c r="P367" s="22">
        <f>IF($O367="","",$O367-N($I367))</f>
        <v/>
      </c>
      <c r="Q367" s="23">
        <f>IF(OR($P367="",$N367="",$N367=0),"",$P367/$N367)</f>
        <v/>
      </c>
      <c r="R367" s="21">
        <f>IF($P367="","",IF($P367&gt;0,"برد",IF($P367&lt;0,"باخت","سر به سر")))</f>
        <v/>
      </c>
      <c r="S367" s="22">
        <f>IF($P367="","",SUM($P$5:$P367))</f>
        <v/>
      </c>
      <c r="T367" s="24">
        <f>IF($R367="باخت",N($T366)+1,0)</f>
        <v/>
      </c>
      <c r="U367" s="22">
        <f>IF($S367="","",$S367-MAX($S$5:$S367))</f>
        <v/>
      </c>
    </row>
    <row r="368">
      <c r="A368" s="14" t="n"/>
      <c r="B368" s="15" t="n"/>
      <c r="C368" s="15" t="n"/>
      <c r="D368" s="15" t="n"/>
      <c r="E368" s="16" t="n"/>
      <c r="F368" s="16" t="n"/>
      <c r="G368" s="16" t="n"/>
      <c r="H368" s="17" t="n"/>
      <c r="I368" s="18" t="n"/>
      <c r="J368" s="18" t="n"/>
      <c r="K368" s="19" t="n"/>
      <c r="L368" s="20">
        <f>IF($B368="","",IFERROR(VLOOKUP($B368,'تنظیمات'!$A$4:$C$43,2,FALSE),1))</f>
        <v/>
      </c>
      <c r="M368" s="21">
        <f>IF($B368="","",IFERROR(VLOOKUP($B368,'تنظیمات'!$A$4:$C$43,3,FALSE),"USD"))</f>
        <v/>
      </c>
      <c r="N368" s="22">
        <f>IF(OR($E368="",$F368="",$H368="",$L368=""),"",ABS($E368-$F368)*$H368*IF($M368="BASE",$L368/$E368,$L368))</f>
        <v/>
      </c>
      <c r="O368" s="22">
        <f>IF($J368&lt;&gt;"",$J368,IF(OR($E368="",$G368="",$H368="",$L368=""),"",($G368-$E368)*IF($C368="فروش",-1,1)*$H368*IF($M368="BASE",$L368/$G368,$L368)))</f>
        <v/>
      </c>
      <c r="P368" s="22">
        <f>IF($O368="","",$O368-N($I368))</f>
        <v/>
      </c>
      <c r="Q368" s="23">
        <f>IF(OR($P368="",$N368="",$N368=0),"",$P368/$N368)</f>
        <v/>
      </c>
      <c r="R368" s="21">
        <f>IF($P368="","",IF($P368&gt;0,"برد",IF($P368&lt;0,"باخت","سر به سر")))</f>
        <v/>
      </c>
      <c r="S368" s="22">
        <f>IF($P368="","",SUM($P$5:$P368))</f>
        <v/>
      </c>
      <c r="T368" s="24">
        <f>IF($R368="باخت",N($T367)+1,0)</f>
        <v/>
      </c>
      <c r="U368" s="22">
        <f>IF($S368="","",$S368-MAX($S$5:$S368))</f>
        <v/>
      </c>
    </row>
    <row r="369">
      <c r="A369" s="14" t="n"/>
      <c r="B369" s="15" t="n"/>
      <c r="C369" s="15" t="n"/>
      <c r="D369" s="15" t="n"/>
      <c r="E369" s="16" t="n"/>
      <c r="F369" s="16" t="n"/>
      <c r="G369" s="16" t="n"/>
      <c r="H369" s="17" t="n"/>
      <c r="I369" s="18" t="n"/>
      <c r="J369" s="18" t="n"/>
      <c r="K369" s="19" t="n"/>
      <c r="L369" s="20">
        <f>IF($B369="","",IFERROR(VLOOKUP($B369,'تنظیمات'!$A$4:$C$43,2,FALSE),1))</f>
        <v/>
      </c>
      <c r="M369" s="21">
        <f>IF($B369="","",IFERROR(VLOOKUP($B369,'تنظیمات'!$A$4:$C$43,3,FALSE),"USD"))</f>
        <v/>
      </c>
      <c r="N369" s="22">
        <f>IF(OR($E369="",$F369="",$H369="",$L369=""),"",ABS($E369-$F369)*$H369*IF($M369="BASE",$L369/$E369,$L369))</f>
        <v/>
      </c>
      <c r="O369" s="22">
        <f>IF($J369&lt;&gt;"",$J369,IF(OR($E369="",$G369="",$H369="",$L369=""),"",($G369-$E369)*IF($C369="فروش",-1,1)*$H369*IF($M369="BASE",$L369/$G369,$L369)))</f>
        <v/>
      </c>
      <c r="P369" s="22">
        <f>IF($O369="","",$O369-N($I369))</f>
        <v/>
      </c>
      <c r="Q369" s="23">
        <f>IF(OR($P369="",$N369="",$N369=0),"",$P369/$N369)</f>
        <v/>
      </c>
      <c r="R369" s="21">
        <f>IF($P369="","",IF($P369&gt;0,"برد",IF($P369&lt;0,"باخت","سر به سر")))</f>
        <v/>
      </c>
      <c r="S369" s="22">
        <f>IF($P369="","",SUM($P$5:$P369))</f>
        <v/>
      </c>
      <c r="T369" s="24">
        <f>IF($R369="باخت",N($T368)+1,0)</f>
        <v/>
      </c>
      <c r="U369" s="22">
        <f>IF($S369="","",$S369-MAX($S$5:$S369))</f>
        <v/>
      </c>
    </row>
    <row r="370">
      <c r="A370" s="14" t="n"/>
      <c r="B370" s="15" t="n"/>
      <c r="C370" s="15" t="n"/>
      <c r="D370" s="15" t="n"/>
      <c r="E370" s="16" t="n"/>
      <c r="F370" s="16" t="n"/>
      <c r="G370" s="16" t="n"/>
      <c r="H370" s="17" t="n"/>
      <c r="I370" s="18" t="n"/>
      <c r="J370" s="18" t="n"/>
      <c r="K370" s="19" t="n"/>
      <c r="L370" s="20">
        <f>IF($B370="","",IFERROR(VLOOKUP($B370,'تنظیمات'!$A$4:$C$43,2,FALSE),1))</f>
        <v/>
      </c>
      <c r="M370" s="21">
        <f>IF($B370="","",IFERROR(VLOOKUP($B370,'تنظیمات'!$A$4:$C$43,3,FALSE),"USD"))</f>
        <v/>
      </c>
      <c r="N370" s="22">
        <f>IF(OR($E370="",$F370="",$H370="",$L370=""),"",ABS($E370-$F370)*$H370*IF($M370="BASE",$L370/$E370,$L370))</f>
        <v/>
      </c>
      <c r="O370" s="22">
        <f>IF($J370&lt;&gt;"",$J370,IF(OR($E370="",$G370="",$H370="",$L370=""),"",($G370-$E370)*IF($C370="فروش",-1,1)*$H370*IF($M370="BASE",$L370/$G370,$L370)))</f>
        <v/>
      </c>
      <c r="P370" s="22">
        <f>IF($O370="","",$O370-N($I370))</f>
        <v/>
      </c>
      <c r="Q370" s="23">
        <f>IF(OR($P370="",$N370="",$N370=0),"",$P370/$N370)</f>
        <v/>
      </c>
      <c r="R370" s="21">
        <f>IF($P370="","",IF($P370&gt;0,"برد",IF($P370&lt;0,"باخت","سر به سر")))</f>
        <v/>
      </c>
      <c r="S370" s="22">
        <f>IF($P370="","",SUM($P$5:$P370))</f>
        <v/>
      </c>
      <c r="T370" s="24">
        <f>IF($R370="باخت",N($T369)+1,0)</f>
        <v/>
      </c>
      <c r="U370" s="22">
        <f>IF($S370="","",$S370-MAX($S$5:$S370))</f>
        <v/>
      </c>
    </row>
    <row r="371">
      <c r="A371" s="14" t="n"/>
      <c r="B371" s="15" t="n"/>
      <c r="C371" s="15" t="n"/>
      <c r="D371" s="15" t="n"/>
      <c r="E371" s="16" t="n"/>
      <c r="F371" s="16" t="n"/>
      <c r="G371" s="16" t="n"/>
      <c r="H371" s="17" t="n"/>
      <c r="I371" s="18" t="n"/>
      <c r="J371" s="18" t="n"/>
      <c r="K371" s="19" t="n"/>
      <c r="L371" s="20">
        <f>IF($B371="","",IFERROR(VLOOKUP($B371,'تنظیمات'!$A$4:$C$43,2,FALSE),1))</f>
        <v/>
      </c>
      <c r="M371" s="21">
        <f>IF($B371="","",IFERROR(VLOOKUP($B371,'تنظیمات'!$A$4:$C$43,3,FALSE),"USD"))</f>
        <v/>
      </c>
      <c r="N371" s="22">
        <f>IF(OR($E371="",$F371="",$H371="",$L371=""),"",ABS($E371-$F371)*$H371*IF($M371="BASE",$L371/$E371,$L371))</f>
        <v/>
      </c>
      <c r="O371" s="22">
        <f>IF($J371&lt;&gt;"",$J371,IF(OR($E371="",$G371="",$H371="",$L371=""),"",($G371-$E371)*IF($C371="فروش",-1,1)*$H371*IF($M371="BASE",$L371/$G371,$L371)))</f>
        <v/>
      </c>
      <c r="P371" s="22">
        <f>IF($O371="","",$O371-N($I371))</f>
        <v/>
      </c>
      <c r="Q371" s="23">
        <f>IF(OR($P371="",$N371="",$N371=0),"",$P371/$N371)</f>
        <v/>
      </c>
      <c r="R371" s="21">
        <f>IF($P371="","",IF($P371&gt;0,"برد",IF($P371&lt;0,"باخت","سر به سر")))</f>
        <v/>
      </c>
      <c r="S371" s="22">
        <f>IF($P371="","",SUM($P$5:$P371))</f>
        <v/>
      </c>
      <c r="T371" s="24">
        <f>IF($R371="باخت",N($T370)+1,0)</f>
        <v/>
      </c>
      <c r="U371" s="22">
        <f>IF($S371="","",$S371-MAX($S$5:$S371))</f>
        <v/>
      </c>
    </row>
    <row r="372">
      <c r="A372" s="14" t="n"/>
      <c r="B372" s="15" t="n"/>
      <c r="C372" s="15" t="n"/>
      <c r="D372" s="15" t="n"/>
      <c r="E372" s="16" t="n"/>
      <c r="F372" s="16" t="n"/>
      <c r="G372" s="16" t="n"/>
      <c r="H372" s="17" t="n"/>
      <c r="I372" s="18" t="n"/>
      <c r="J372" s="18" t="n"/>
      <c r="K372" s="19" t="n"/>
      <c r="L372" s="20">
        <f>IF($B372="","",IFERROR(VLOOKUP($B372,'تنظیمات'!$A$4:$C$43,2,FALSE),1))</f>
        <v/>
      </c>
      <c r="M372" s="21">
        <f>IF($B372="","",IFERROR(VLOOKUP($B372,'تنظیمات'!$A$4:$C$43,3,FALSE),"USD"))</f>
        <v/>
      </c>
      <c r="N372" s="22">
        <f>IF(OR($E372="",$F372="",$H372="",$L372=""),"",ABS($E372-$F372)*$H372*IF($M372="BASE",$L372/$E372,$L372))</f>
        <v/>
      </c>
      <c r="O372" s="22">
        <f>IF($J372&lt;&gt;"",$J372,IF(OR($E372="",$G372="",$H372="",$L372=""),"",($G372-$E372)*IF($C372="فروش",-1,1)*$H372*IF($M372="BASE",$L372/$G372,$L372)))</f>
        <v/>
      </c>
      <c r="P372" s="22">
        <f>IF($O372="","",$O372-N($I372))</f>
        <v/>
      </c>
      <c r="Q372" s="23">
        <f>IF(OR($P372="",$N372="",$N372=0),"",$P372/$N372)</f>
        <v/>
      </c>
      <c r="R372" s="21">
        <f>IF($P372="","",IF($P372&gt;0,"برد",IF($P372&lt;0,"باخت","سر به سر")))</f>
        <v/>
      </c>
      <c r="S372" s="22">
        <f>IF($P372="","",SUM($P$5:$P372))</f>
        <v/>
      </c>
      <c r="T372" s="24">
        <f>IF($R372="باخت",N($T371)+1,0)</f>
        <v/>
      </c>
      <c r="U372" s="22">
        <f>IF($S372="","",$S372-MAX($S$5:$S372))</f>
        <v/>
      </c>
    </row>
    <row r="373">
      <c r="A373" s="14" t="n"/>
      <c r="B373" s="15" t="n"/>
      <c r="C373" s="15" t="n"/>
      <c r="D373" s="15" t="n"/>
      <c r="E373" s="16" t="n"/>
      <c r="F373" s="16" t="n"/>
      <c r="G373" s="16" t="n"/>
      <c r="H373" s="17" t="n"/>
      <c r="I373" s="18" t="n"/>
      <c r="J373" s="18" t="n"/>
      <c r="K373" s="19" t="n"/>
      <c r="L373" s="20">
        <f>IF($B373="","",IFERROR(VLOOKUP($B373,'تنظیمات'!$A$4:$C$43,2,FALSE),1))</f>
        <v/>
      </c>
      <c r="M373" s="21">
        <f>IF($B373="","",IFERROR(VLOOKUP($B373,'تنظیمات'!$A$4:$C$43,3,FALSE),"USD"))</f>
        <v/>
      </c>
      <c r="N373" s="22">
        <f>IF(OR($E373="",$F373="",$H373="",$L373=""),"",ABS($E373-$F373)*$H373*IF($M373="BASE",$L373/$E373,$L373))</f>
        <v/>
      </c>
      <c r="O373" s="22">
        <f>IF($J373&lt;&gt;"",$J373,IF(OR($E373="",$G373="",$H373="",$L373=""),"",($G373-$E373)*IF($C373="فروش",-1,1)*$H373*IF($M373="BASE",$L373/$G373,$L373)))</f>
        <v/>
      </c>
      <c r="P373" s="22">
        <f>IF($O373="","",$O373-N($I373))</f>
        <v/>
      </c>
      <c r="Q373" s="23">
        <f>IF(OR($P373="",$N373="",$N373=0),"",$P373/$N373)</f>
        <v/>
      </c>
      <c r="R373" s="21">
        <f>IF($P373="","",IF($P373&gt;0,"برد",IF($P373&lt;0,"باخت","سر به سر")))</f>
        <v/>
      </c>
      <c r="S373" s="22">
        <f>IF($P373="","",SUM($P$5:$P373))</f>
        <v/>
      </c>
      <c r="T373" s="24">
        <f>IF($R373="باخت",N($T372)+1,0)</f>
        <v/>
      </c>
      <c r="U373" s="22">
        <f>IF($S373="","",$S373-MAX($S$5:$S373))</f>
        <v/>
      </c>
    </row>
    <row r="374">
      <c r="A374" s="14" t="n"/>
      <c r="B374" s="15" t="n"/>
      <c r="C374" s="15" t="n"/>
      <c r="D374" s="15" t="n"/>
      <c r="E374" s="16" t="n"/>
      <c r="F374" s="16" t="n"/>
      <c r="G374" s="16" t="n"/>
      <c r="H374" s="17" t="n"/>
      <c r="I374" s="18" t="n"/>
      <c r="J374" s="18" t="n"/>
      <c r="K374" s="19" t="n"/>
      <c r="L374" s="20">
        <f>IF($B374="","",IFERROR(VLOOKUP($B374,'تنظیمات'!$A$4:$C$43,2,FALSE),1))</f>
        <v/>
      </c>
      <c r="M374" s="21">
        <f>IF($B374="","",IFERROR(VLOOKUP($B374,'تنظیمات'!$A$4:$C$43,3,FALSE),"USD"))</f>
        <v/>
      </c>
      <c r="N374" s="22">
        <f>IF(OR($E374="",$F374="",$H374="",$L374=""),"",ABS($E374-$F374)*$H374*IF($M374="BASE",$L374/$E374,$L374))</f>
        <v/>
      </c>
      <c r="O374" s="22">
        <f>IF($J374&lt;&gt;"",$J374,IF(OR($E374="",$G374="",$H374="",$L374=""),"",($G374-$E374)*IF($C374="فروش",-1,1)*$H374*IF($M374="BASE",$L374/$G374,$L374)))</f>
        <v/>
      </c>
      <c r="P374" s="22">
        <f>IF($O374="","",$O374-N($I374))</f>
        <v/>
      </c>
      <c r="Q374" s="23">
        <f>IF(OR($P374="",$N374="",$N374=0),"",$P374/$N374)</f>
        <v/>
      </c>
      <c r="R374" s="21">
        <f>IF($P374="","",IF($P374&gt;0,"برد",IF($P374&lt;0,"باخت","سر به سر")))</f>
        <v/>
      </c>
      <c r="S374" s="22">
        <f>IF($P374="","",SUM($P$5:$P374))</f>
        <v/>
      </c>
      <c r="T374" s="24">
        <f>IF($R374="باخت",N($T373)+1,0)</f>
        <v/>
      </c>
      <c r="U374" s="22">
        <f>IF($S374="","",$S374-MAX($S$5:$S374))</f>
        <v/>
      </c>
    </row>
    <row r="375">
      <c r="A375" s="14" t="n"/>
      <c r="B375" s="15" t="n"/>
      <c r="C375" s="15" t="n"/>
      <c r="D375" s="15" t="n"/>
      <c r="E375" s="16" t="n"/>
      <c r="F375" s="16" t="n"/>
      <c r="G375" s="16" t="n"/>
      <c r="H375" s="17" t="n"/>
      <c r="I375" s="18" t="n"/>
      <c r="J375" s="18" t="n"/>
      <c r="K375" s="19" t="n"/>
      <c r="L375" s="20">
        <f>IF($B375="","",IFERROR(VLOOKUP($B375,'تنظیمات'!$A$4:$C$43,2,FALSE),1))</f>
        <v/>
      </c>
      <c r="M375" s="21">
        <f>IF($B375="","",IFERROR(VLOOKUP($B375,'تنظیمات'!$A$4:$C$43,3,FALSE),"USD"))</f>
        <v/>
      </c>
      <c r="N375" s="22">
        <f>IF(OR($E375="",$F375="",$H375="",$L375=""),"",ABS($E375-$F375)*$H375*IF($M375="BASE",$L375/$E375,$L375))</f>
        <v/>
      </c>
      <c r="O375" s="22">
        <f>IF($J375&lt;&gt;"",$J375,IF(OR($E375="",$G375="",$H375="",$L375=""),"",($G375-$E375)*IF($C375="فروش",-1,1)*$H375*IF($M375="BASE",$L375/$G375,$L375)))</f>
        <v/>
      </c>
      <c r="P375" s="22">
        <f>IF($O375="","",$O375-N($I375))</f>
        <v/>
      </c>
      <c r="Q375" s="23">
        <f>IF(OR($P375="",$N375="",$N375=0),"",$P375/$N375)</f>
        <v/>
      </c>
      <c r="R375" s="21">
        <f>IF($P375="","",IF($P375&gt;0,"برد",IF($P375&lt;0,"باخت","سر به سر")))</f>
        <v/>
      </c>
      <c r="S375" s="22">
        <f>IF($P375="","",SUM($P$5:$P375))</f>
        <v/>
      </c>
      <c r="T375" s="24">
        <f>IF($R375="باخت",N($T374)+1,0)</f>
        <v/>
      </c>
      <c r="U375" s="22">
        <f>IF($S375="","",$S375-MAX($S$5:$S375))</f>
        <v/>
      </c>
    </row>
    <row r="376">
      <c r="A376" s="14" t="n"/>
      <c r="B376" s="15" t="n"/>
      <c r="C376" s="15" t="n"/>
      <c r="D376" s="15" t="n"/>
      <c r="E376" s="16" t="n"/>
      <c r="F376" s="16" t="n"/>
      <c r="G376" s="16" t="n"/>
      <c r="H376" s="17" t="n"/>
      <c r="I376" s="18" t="n"/>
      <c r="J376" s="18" t="n"/>
      <c r="K376" s="19" t="n"/>
      <c r="L376" s="20">
        <f>IF($B376="","",IFERROR(VLOOKUP($B376,'تنظیمات'!$A$4:$C$43,2,FALSE),1))</f>
        <v/>
      </c>
      <c r="M376" s="21">
        <f>IF($B376="","",IFERROR(VLOOKUP($B376,'تنظیمات'!$A$4:$C$43,3,FALSE),"USD"))</f>
        <v/>
      </c>
      <c r="N376" s="22">
        <f>IF(OR($E376="",$F376="",$H376="",$L376=""),"",ABS($E376-$F376)*$H376*IF($M376="BASE",$L376/$E376,$L376))</f>
        <v/>
      </c>
      <c r="O376" s="22">
        <f>IF($J376&lt;&gt;"",$J376,IF(OR($E376="",$G376="",$H376="",$L376=""),"",($G376-$E376)*IF($C376="فروش",-1,1)*$H376*IF($M376="BASE",$L376/$G376,$L376)))</f>
        <v/>
      </c>
      <c r="P376" s="22">
        <f>IF($O376="","",$O376-N($I376))</f>
        <v/>
      </c>
      <c r="Q376" s="23">
        <f>IF(OR($P376="",$N376="",$N376=0),"",$P376/$N376)</f>
        <v/>
      </c>
      <c r="R376" s="21">
        <f>IF($P376="","",IF($P376&gt;0,"برد",IF($P376&lt;0,"باخت","سر به سر")))</f>
        <v/>
      </c>
      <c r="S376" s="22">
        <f>IF($P376="","",SUM($P$5:$P376))</f>
        <v/>
      </c>
      <c r="T376" s="24">
        <f>IF($R376="باخت",N($T375)+1,0)</f>
        <v/>
      </c>
      <c r="U376" s="22">
        <f>IF($S376="","",$S376-MAX($S$5:$S376))</f>
        <v/>
      </c>
    </row>
    <row r="377">
      <c r="A377" s="14" t="n"/>
      <c r="B377" s="15" t="n"/>
      <c r="C377" s="15" t="n"/>
      <c r="D377" s="15" t="n"/>
      <c r="E377" s="16" t="n"/>
      <c r="F377" s="16" t="n"/>
      <c r="G377" s="16" t="n"/>
      <c r="H377" s="17" t="n"/>
      <c r="I377" s="18" t="n"/>
      <c r="J377" s="18" t="n"/>
      <c r="K377" s="19" t="n"/>
      <c r="L377" s="20">
        <f>IF($B377="","",IFERROR(VLOOKUP($B377,'تنظیمات'!$A$4:$C$43,2,FALSE),1))</f>
        <v/>
      </c>
      <c r="M377" s="21">
        <f>IF($B377="","",IFERROR(VLOOKUP($B377,'تنظیمات'!$A$4:$C$43,3,FALSE),"USD"))</f>
        <v/>
      </c>
      <c r="N377" s="22">
        <f>IF(OR($E377="",$F377="",$H377="",$L377=""),"",ABS($E377-$F377)*$H377*IF($M377="BASE",$L377/$E377,$L377))</f>
        <v/>
      </c>
      <c r="O377" s="22">
        <f>IF($J377&lt;&gt;"",$J377,IF(OR($E377="",$G377="",$H377="",$L377=""),"",($G377-$E377)*IF($C377="فروش",-1,1)*$H377*IF($M377="BASE",$L377/$G377,$L377)))</f>
        <v/>
      </c>
      <c r="P377" s="22">
        <f>IF($O377="","",$O377-N($I377))</f>
        <v/>
      </c>
      <c r="Q377" s="23">
        <f>IF(OR($P377="",$N377="",$N377=0),"",$P377/$N377)</f>
        <v/>
      </c>
      <c r="R377" s="21">
        <f>IF($P377="","",IF($P377&gt;0,"برد",IF($P377&lt;0,"باخت","سر به سر")))</f>
        <v/>
      </c>
      <c r="S377" s="22">
        <f>IF($P377="","",SUM($P$5:$P377))</f>
        <v/>
      </c>
      <c r="T377" s="24">
        <f>IF($R377="باخت",N($T376)+1,0)</f>
        <v/>
      </c>
      <c r="U377" s="22">
        <f>IF($S377="","",$S377-MAX($S$5:$S377))</f>
        <v/>
      </c>
    </row>
    <row r="378">
      <c r="A378" s="14" t="n"/>
      <c r="B378" s="15" t="n"/>
      <c r="C378" s="15" t="n"/>
      <c r="D378" s="15" t="n"/>
      <c r="E378" s="16" t="n"/>
      <c r="F378" s="16" t="n"/>
      <c r="G378" s="16" t="n"/>
      <c r="H378" s="17" t="n"/>
      <c r="I378" s="18" t="n"/>
      <c r="J378" s="18" t="n"/>
      <c r="K378" s="19" t="n"/>
      <c r="L378" s="20">
        <f>IF($B378="","",IFERROR(VLOOKUP($B378,'تنظیمات'!$A$4:$C$43,2,FALSE),1))</f>
        <v/>
      </c>
      <c r="M378" s="21">
        <f>IF($B378="","",IFERROR(VLOOKUP($B378,'تنظیمات'!$A$4:$C$43,3,FALSE),"USD"))</f>
        <v/>
      </c>
      <c r="N378" s="22">
        <f>IF(OR($E378="",$F378="",$H378="",$L378=""),"",ABS($E378-$F378)*$H378*IF($M378="BASE",$L378/$E378,$L378))</f>
        <v/>
      </c>
      <c r="O378" s="22">
        <f>IF($J378&lt;&gt;"",$J378,IF(OR($E378="",$G378="",$H378="",$L378=""),"",($G378-$E378)*IF($C378="فروش",-1,1)*$H378*IF($M378="BASE",$L378/$G378,$L378)))</f>
        <v/>
      </c>
      <c r="P378" s="22">
        <f>IF($O378="","",$O378-N($I378))</f>
        <v/>
      </c>
      <c r="Q378" s="23">
        <f>IF(OR($P378="",$N378="",$N378=0),"",$P378/$N378)</f>
        <v/>
      </c>
      <c r="R378" s="21">
        <f>IF($P378="","",IF($P378&gt;0,"برد",IF($P378&lt;0,"باخت","سر به سر")))</f>
        <v/>
      </c>
      <c r="S378" s="22">
        <f>IF($P378="","",SUM($P$5:$P378))</f>
        <v/>
      </c>
      <c r="T378" s="24">
        <f>IF($R378="باخت",N($T377)+1,0)</f>
        <v/>
      </c>
      <c r="U378" s="22">
        <f>IF($S378="","",$S378-MAX($S$5:$S378))</f>
        <v/>
      </c>
    </row>
    <row r="379">
      <c r="A379" s="14" t="n"/>
      <c r="B379" s="15" t="n"/>
      <c r="C379" s="15" t="n"/>
      <c r="D379" s="15" t="n"/>
      <c r="E379" s="16" t="n"/>
      <c r="F379" s="16" t="n"/>
      <c r="G379" s="16" t="n"/>
      <c r="H379" s="17" t="n"/>
      <c r="I379" s="18" t="n"/>
      <c r="J379" s="18" t="n"/>
      <c r="K379" s="19" t="n"/>
      <c r="L379" s="20">
        <f>IF($B379="","",IFERROR(VLOOKUP($B379,'تنظیمات'!$A$4:$C$43,2,FALSE),1))</f>
        <v/>
      </c>
      <c r="M379" s="21">
        <f>IF($B379="","",IFERROR(VLOOKUP($B379,'تنظیمات'!$A$4:$C$43,3,FALSE),"USD"))</f>
        <v/>
      </c>
      <c r="N379" s="22">
        <f>IF(OR($E379="",$F379="",$H379="",$L379=""),"",ABS($E379-$F379)*$H379*IF($M379="BASE",$L379/$E379,$L379))</f>
        <v/>
      </c>
      <c r="O379" s="22">
        <f>IF($J379&lt;&gt;"",$J379,IF(OR($E379="",$G379="",$H379="",$L379=""),"",($G379-$E379)*IF($C379="فروش",-1,1)*$H379*IF($M379="BASE",$L379/$G379,$L379)))</f>
        <v/>
      </c>
      <c r="P379" s="22">
        <f>IF($O379="","",$O379-N($I379))</f>
        <v/>
      </c>
      <c r="Q379" s="23">
        <f>IF(OR($P379="",$N379="",$N379=0),"",$P379/$N379)</f>
        <v/>
      </c>
      <c r="R379" s="21">
        <f>IF($P379="","",IF($P379&gt;0,"برد",IF($P379&lt;0,"باخت","سر به سر")))</f>
        <v/>
      </c>
      <c r="S379" s="22">
        <f>IF($P379="","",SUM($P$5:$P379))</f>
        <v/>
      </c>
      <c r="T379" s="24">
        <f>IF($R379="باخت",N($T378)+1,0)</f>
        <v/>
      </c>
      <c r="U379" s="22">
        <f>IF($S379="","",$S379-MAX($S$5:$S379))</f>
        <v/>
      </c>
    </row>
    <row r="380">
      <c r="A380" s="14" t="n"/>
      <c r="B380" s="15" t="n"/>
      <c r="C380" s="15" t="n"/>
      <c r="D380" s="15" t="n"/>
      <c r="E380" s="16" t="n"/>
      <c r="F380" s="16" t="n"/>
      <c r="G380" s="16" t="n"/>
      <c r="H380" s="17" t="n"/>
      <c r="I380" s="18" t="n"/>
      <c r="J380" s="18" t="n"/>
      <c r="K380" s="19" t="n"/>
      <c r="L380" s="20">
        <f>IF($B380="","",IFERROR(VLOOKUP($B380,'تنظیمات'!$A$4:$C$43,2,FALSE),1))</f>
        <v/>
      </c>
      <c r="M380" s="21">
        <f>IF($B380="","",IFERROR(VLOOKUP($B380,'تنظیمات'!$A$4:$C$43,3,FALSE),"USD"))</f>
        <v/>
      </c>
      <c r="N380" s="22">
        <f>IF(OR($E380="",$F380="",$H380="",$L380=""),"",ABS($E380-$F380)*$H380*IF($M380="BASE",$L380/$E380,$L380))</f>
        <v/>
      </c>
      <c r="O380" s="22">
        <f>IF($J380&lt;&gt;"",$J380,IF(OR($E380="",$G380="",$H380="",$L380=""),"",($G380-$E380)*IF($C380="فروش",-1,1)*$H380*IF($M380="BASE",$L380/$G380,$L380)))</f>
        <v/>
      </c>
      <c r="P380" s="22">
        <f>IF($O380="","",$O380-N($I380))</f>
        <v/>
      </c>
      <c r="Q380" s="23">
        <f>IF(OR($P380="",$N380="",$N380=0),"",$P380/$N380)</f>
        <v/>
      </c>
      <c r="R380" s="21">
        <f>IF($P380="","",IF($P380&gt;0,"برد",IF($P380&lt;0,"باخت","سر به سر")))</f>
        <v/>
      </c>
      <c r="S380" s="22">
        <f>IF($P380="","",SUM($P$5:$P380))</f>
        <v/>
      </c>
      <c r="T380" s="24">
        <f>IF($R380="باخت",N($T379)+1,0)</f>
        <v/>
      </c>
      <c r="U380" s="22">
        <f>IF($S380="","",$S380-MAX($S$5:$S380))</f>
        <v/>
      </c>
    </row>
    <row r="381">
      <c r="A381" s="14" t="n"/>
      <c r="B381" s="15" t="n"/>
      <c r="C381" s="15" t="n"/>
      <c r="D381" s="15" t="n"/>
      <c r="E381" s="16" t="n"/>
      <c r="F381" s="16" t="n"/>
      <c r="G381" s="16" t="n"/>
      <c r="H381" s="17" t="n"/>
      <c r="I381" s="18" t="n"/>
      <c r="J381" s="18" t="n"/>
      <c r="K381" s="19" t="n"/>
      <c r="L381" s="20">
        <f>IF($B381="","",IFERROR(VLOOKUP($B381,'تنظیمات'!$A$4:$C$43,2,FALSE),1))</f>
        <v/>
      </c>
      <c r="M381" s="21">
        <f>IF($B381="","",IFERROR(VLOOKUP($B381,'تنظیمات'!$A$4:$C$43,3,FALSE),"USD"))</f>
        <v/>
      </c>
      <c r="N381" s="22">
        <f>IF(OR($E381="",$F381="",$H381="",$L381=""),"",ABS($E381-$F381)*$H381*IF($M381="BASE",$L381/$E381,$L381))</f>
        <v/>
      </c>
      <c r="O381" s="22">
        <f>IF($J381&lt;&gt;"",$J381,IF(OR($E381="",$G381="",$H381="",$L381=""),"",($G381-$E381)*IF($C381="فروش",-1,1)*$H381*IF($M381="BASE",$L381/$G381,$L381)))</f>
        <v/>
      </c>
      <c r="P381" s="22">
        <f>IF($O381="","",$O381-N($I381))</f>
        <v/>
      </c>
      <c r="Q381" s="23">
        <f>IF(OR($P381="",$N381="",$N381=0),"",$P381/$N381)</f>
        <v/>
      </c>
      <c r="R381" s="21">
        <f>IF($P381="","",IF($P381&gt;0,"برد",IF($P381&lt;0,"باخت","سر به سر")))</f>
        <v/>
      </c>
      <c r="S381" s="22">
        <f>IF($P381="","",SUM($P$5:$P381))</f>
        <v/>
      </c>
      <c r="T381" s="24">
        <f>IF($R381="باخت",N($T380)+1,0)</f>
        <v/>
      </c>
      <c r="U381" s="22">
        <f>IF($S381="","",$S381-MAX($S$5:$S381))</f>
        <v/>
      </c>
    </row>
    <row r="382">
      <c r="A382" s="14" t="n"/>
      <c r="B382" s="15" t="n"/>
      <c r="C382" s="15" t="n"/>
      <c r="D382" s="15" t="n"/>
      <c r="E382" s="16" t="n"/>
      <c r="F382" s="16" t="n"/>
      <c r="G382" s="16" t="n"/>
      <c r="H382" s="17" t="n"/>
      <c r="I382" s="18" t="n"/>
      <c r="J382" s="18" t="n"/>
      <c r="K382" s="19" t="n"/>
      <c r="L382" s="20">
        <f>IF($B382="","",IFERROR(VLOOKUP($B382,'تنظیمات'!$A$4:$C$43,2,FALSE),1))</f>
        <v/>
      </c>
      <c r="M382" s="21">
        <f>IF($B382="","",IFERROR(VLOOKUP($B382,'تنظیمات'!$A$4:$C$43,3,FALSE),"USD"))</f>
        <v/>
      </c>
      <c r="N382" s="22">
        <f>IF(OR($E382="",$F382="",$H382="",$L382=""),"",ABS($E382-$F382)*$H382*IF($M382="BASE",$L382/$E382,$L382))</f>
        <v/>
      </c>
      <c r="O382" s="22">
        <f>IF($J382&lt;&gt;"",$J382,IF(OR($E382="",$G382="",$H382="",$L382=""),"",($G382-$E382)*IF($C382="فروش",-1,1)*$H382*IF($M382="BASE",$L382/$G382,$L382)))</f>
        <v/>
      </c>
      <c r="P382" s="22">
        <f>IF($O382="","",$O382-N($I382))</f>
        <v/>
      </c>
      <c r="Q382" s="23">
        <f>IF(OR($P382="",$N382="",$N382=0),"",$P382/$N382)</f>
        <v/>
      </c>
      <c r="R382" s="21">
        <f>IF($P382="","",IF($P382&gt;0,"برد",IF($P382&lt;0,"باخت","سر به سر")))</f>
        <v/>
      </c>
      <c r="S382" s="22">
        <f>IF($P382="","",SUM($P$5:$P382))</f>
        <v/>
      </c>
      <c r="T382" s="24">
        <f>IF($R382="باخت",N($T381)+1,0)</f>
        <v/>
      </c>
      <c r="U382" s="22">
        <f>IF($S382="","",$S382-MAX($S$5:$S382))</f>
        <v/>
      </c>
    </row>
    <row r="383">
      <c r="A383" s="14" t="n"/>
      <c r="B383" s="15" t="n"/>
      <c r="C383" s="15" t="n"/>
      <c r="D383" s="15" t="n"/>
      <c r="E383" s="16" t="n"/>
      <c r="F383" s="16" t="n"/>
      <c r="G383" s="16" t="n"/>
      <c r="H383" s="17" t="n"/>
      <c r="I383" s="18" t="n"/>
      <c r="J383" s="18" t="n"/>
      <c r="K383" s="19" t="n"/>
      <c r="L383" s="20">
        <f>IF($B383="","",IFERROR(VLOOKUP($B383,'تنظیمات'!$A$4:$C$43,2,FALSE),1))</f>
        <v/>
      </c>
      <c r="M383" s="21">
        <f>IF($B383="","",IFERROR(VLOOKUP($B383,'تنظیمات'!$A$4:$C$43,3,FALSE),"USD"))</f>
        <v/>
      </c>
      <c r="N383" s="22">
        <f>IF(OR($E383="",$F383="",$H383="",$L383=""),"",ABS($E383-$F383)*$H383*IF($M383="BASE",$L383/$E383,$L383))</f>
        <v/>
      </c>
      <c r="O383" s="22">
        <f>IF($J383&lt;&gt;"",$J383,IF(OR($E383="",$G383="",$H383="",$L383=""),"",($G383-$E383)*IF($C383="فروش",-1,1)*$H383*IF($M383="BASE",$L383/$G383,$L383)))</f>
        <v/>
      </c>
      <c r="P383" s="22">
        <f>IF($O383="","",$O383-N($I383))</f>
        <v/>
      </c>
      <c r="Q383" s="23">
        <f>IF(OR($P383="",$N383="",$N383=0),"",$P383/$N383)</f>
        <v/>
      </c>
      <c r="R383" s="21">
        <f>IF($P383="","",IF($P383&gt;0,"برد",IF($P383&lt;0,"باخت","سر به سر")))</f>
        <v/>
      </c>
      <c r="S383" s="22">
        <f>IF($P383="","",SUM($P$5:$P383))</f>
        <v/>
      </c>
      <c r="T383" s="24">
        <f>IF($R383="باخت",N($T382)+1,0)</f>
        <v/>
      </c>
      <c r="U383" s="22">
        <f>IF($S383="","",$S383-MAX($S$5:$S383))</f>
        <v/>
      </c>
    </row>
    <row r="384">
      <c r="A384" s="14" t="n"/>
      <c r="B384" s="15" t="n"/>
      <c r="C384" s="15" t="n"/>
      <c r="D384" s="15" t="n"/>
      <c r="E384" s="16" t="n"/>
      <c r="F384" s="16" t="n"/>
      <c r="G384" s="16" t="n"/>
      <c r="H384" s="17" t="n"/>
      <c r="I384" s="18" t="n"/>
      <c r="J384" s="18" t="n"/>
      <c r="K384" s="19" t="n"/>
      <c r="L384" s="20">
        <f>IF($B384="","",IFERROR(VLOOKUP($B384,'تنظیمات'!$A$4:$C$43,2,FALSE),1))</f>
        <v/>
      </c>
      <c r="M384" s="21">
        <f>IF($B384="","",IFERROR(VLOOKUP($B384,'تنظیمات'!$A$4:$C$43,3,FALSE),"USD"))</f>
        <v/>
      </c>
      <c r="N384" s="22">
        <f>IF(OR($E384="",$F384="",$H384="",$L384=""),"",ABS($E384-$F384)*$H384*IF($M384="BASE",$L384/$E384,$L384))</f>
        <v/>
      </c>
      <c r="O384" s="22">
        <f>IF($J384&lt;&gt;"",$J384,IF(OR($E384="",$G384="",$H384="",$L384=""),"",($G384-$E384)*IF($C384="فروش",-1,1)*$H384*IF($M384="BASE",$L384/$G384,$L384)))</f>
        <v/>
      </c>
      <c r="P384" s="22">
        <f>IF($O384="","",$O384-N($I384))</f>
        <v/>
      </c>
      <c r="Q384" s="23">
        <f>IF(OR($P384="",$N384="",$N384=0),"",$P384/$N384)</f>
        <v/>
      </c>
      <c r="R384" s="21">
        <f>IF($P384="","",IF($P384&gt;0,"برد",IF($P384&lt;0,"باخت","سر به سر")))</f>
        <v/>
      </c>
      <c r="S384" s="22">
        <f>IF($P384="","",SUM($P$5:$P384))</f>
        <v/>
      </c>
      <c r="T384" s="24">
        <f>IF($R384="باخت",N($T383)+1,0)</f>
        <v/>
      </c>
      <c r="U384" s="22">
        <f>IF($S384="","",$S384-MAX($S$5:$S384))</f>
        <v/>
      </c>
    </row>
    <row r="385">
      <c r="A385" s="14" t="n"/>
      <c r="B385" s="15" t="n"/>
      <c r="C385" s="15" t="n"/>
      <c r="D385" s="15" t="n"/>
      <c r="E385" s="16" t="n"/>
      <c r="F385" s="16" t="n"/>
      <c r="G385" s="16" t="n"/>
      <c r="H385" s="17" t="n"/>
      <c r="I385" s="18" t="n"/>
      <c r="J385" s="18" t="n"/>
      <c r="K385" s="19" t="n"/>
      <c r="L385" s="20">
        <f>IF($B385="","",IFERROR(VLOOKUP($B385,'تنظیمات'!$A$4:$C$43,2,FALSE),1))</f>
        <v/>
      </c>
      <c r="M385" s="21">
        <f>IF($B385="","",IFERROR(VLOOKUP($B385,'تنظیمات'!$A$4:$C$43,3,FALSE),"USD"))</f>
        <v/>
      </c>
      <c r="N385" s="22">
        <f>IF(OR($E385="",$F385="",$H385="",$L385=""),"",ABS($E385-$F385)*$H385*IF($M385="BASE",$L385/$E385,$L385))</f>
        <v/>
      </c>
      <c r="O385" s="22">
        <f>IF($J385&lt;&gt;"",$J385,IF(OR($E385="",$G385="",$H385="",$L385=""),"",($G385-$E385)*IF($C385="فروش",-1,1)*$H385*IF($M385="BASE",$L385/$G385,$L385)))</f>
        <v/>
      </c>
      <c r="P385" s="22">
        <f>IF($O385="","",$O385-N($I385))</f>
        <v/>
      </c>
      <c r="Q385" s="23">
        <f>IF(OR($P385="",$N385="",$N385=0),"",$P385/$N385)</f>
        <v/>
      </c>
      <c r="R385" s="21">
        <f>IF($P385="","",IF($P385&gt;0,"برد",IF($P385&lt;0,"باخت","سر به سر")))</f>
        <v/>
      </c>
      <c r="S385" s="22">
        <f>IF($P385="","",SUM($P$5:$P385))</f>
        <v/>
      </c>
      <c r="T385" s="24">
        <f>IF($R385="باخت",N($T384)+1,0)</f>
        <v/>
      </c>
      <c r="U385" s="22">
        <f>IF($S385="","",$S385-MAX($S$5:$S385))</f>
        <v/>
      </c>
    </row>
    <row r="386">
      <c r="A386" s="14" t="n"/>
      <c r="B386" s="15" t="n"/>
      <c r="C386" s="15" t="n"/>
      <c r="D386" s="15" t="n"/>
      <c r="E386" s="16" t="n"/>
      <c r="F386" s="16" t="n"/>
      <c r="G386" s="16" t="n"/>
      <c r="H386" s="17" t="n"/>
      <c r="I386" s="18" t="n"/>
      <c r="J386" s="18" t="n"/>
      <c r="K386" s="19" t="n"/>
      <c r="L386" s="20">
        <f>IF($B386="","",IFERROR(VLOOKUP($B386,'تنظیمات'!$A$4:$C$43,2,FALSE),1))</f>
        <v/>
      </c>
      <c r="M386" s="21">
        <f>IF($B386="","",IFERROR(VLOOKUP($B386,'تنظیمات'!$A$4:$C$43,3,FALSE),"USD"))</f>
        <v/>
      </c>
      <c r="N386" s="22">
        <f>IF(OR($E386="",$F386="",$H386="",$L386=""),"",ABS($E386-$F386)*$H386*IF($M386="BASE",$L386/$E386,$L386))</f>
        <v/>
      </c>
      <c r="O386" s="22">
        <f>IF($J386&lt;&gt;"",$J386,IF(OR($E386="",$G386="",$H386="",$L386=""),"",($G386-$E386)*IF($C386="فروش",-1,1)*$H386*IF($M386="BASE",$L386/$G386,$L386)))</f>
        <v/>
      </c>
      <c r="P386" s="22">
        <f>IF($O386="","",$O386-N($I386))</f>
        <v/>
      </c>
      <c r="Q386" s="23">
        <f>IF(OR($P386="",$N386="",$N386=0),"",$P386/$N386)</f>
        <v/>
      </c>
      <c r="R386" s="21">
        <f>IF($P386="","",IF($P386&gt;0,"برد",IF($P386&lt;0,"باخت","سر به سر")))</f>
        <v/>
      </c>
      <c r="S386" s="22">
        <f>IF($P386="","",SUM($P$5:$P386))</f>
        <v/>
      </c>
      <c r="T386" s="24">
        <f>IF($R386="باخت",N($T385)+1,0)</f>
        <v/>
      </c>
      <c r="U386" s="22">
        <f>IF($S386="","",$S386-MAX($S$5:$S386))</f>
        <v/>
      </c>
    </row>
    <row r="387">
      <c r="A387" s="14" t="n"/>
      <c r="B387" s="15" t="n"/>
      <c r="C387" s="15" t="n"/>
      <c r="D387" s="15" t="n"/>
      <c r="E387" s="16" t="n"/>
      <c r="F387" s="16" t="n"/>
      <c r="G387" s="16" t="n"/>
      <c r="H387" s="17" t="n"/>
      <c r="I387" s="18" t="n"/>
      <c r="J387" s="18" t="n"/>
      <c r="K387" s="19" t="n"/>
      <c r="L387" s="20">
        <f>IF($B387="","",IFERROR(VLOOKUP($B387,'تنظیمات'!$A$4:$C$43,2,FALSE),1))</f>
        <v/>
      </c>
      <c r="M387" s="21">
        <f>IF($B387="","",IFERROR(VLOOKUP($B387,'تنظیمات'!$A$4:$C$43,3,FALSE),"USD"))</f>
        <v/>
      </c>
      <c r="N387" s="22">
        <f>IF(OR($E387="",$F387="",$H387="",$L387=""),"",ABS($E387-$F387)*$H387*IF($M387="BASE",$L387/$E387,$L387))</f>
        <v/>
      </c>
      <c r="O387" s="22">
        <f>IF($J387&lt;&gt;"",$J387,IF(OR($E387="",$G387="",$H387="",$L387=""),"",($G387-$E387)*IF($C387="فروش",-1,1)*$H387*IF($M387="BASE",$L387/$G387,$L387)))</f>
        <v/>
      </c>
      <c r="P387" s="22">
        <f>IF($O387="","",$O387-N($I387))</f>
        <v/>
      </c>
      <c r="Q387" s="23">
        <f>IF(OR($P387="",$N387="",$N387=0),"",$P387/$N387)</f>
        <v/>
      </c>
      <c r="R387" s="21">
        <f>IF($P387="","",IF($P387&gt;0,"برد",IF($P387&lt;0,"باخت","سر به سر")))</f>
        <v/>
      </c>
      <c r="S387" s="22">
        <f>IF($P387="","",SUM($P$5:$P387))</f>
        <v/>
      </c>
      <c r="T387" s="24">
        <f>IF($R387="باخت",N($T386)+1,0)</f>
        <v/>
      </c>
      <c r="U387" s="22">
        <f>IF($S387="","",$S387-MAX($S$5:$S387))</f>
        <v/>
      </c>
    </row>
    <row r="388">
      <c r="A388" s="14" t="n"/>
      <c r="B388" s="15" t="n"/>
      <c r="C388" s="15" t="n"/>
      <c r="D388" s="15" t="n"/>
      <c r="E388" s="16" t="n"/>
      <c r="F388" s="16" t="n"/>
      <c r="G388" s="16" t="n"/>
      <c r="H388" s="17" t="n"/>
      <c r="I388" s="18" t="n"/>
      <c r="J388" s="18" t="n"/>
      <c r="K388" s="19" t="n"/>
      <c r="L388" s="20">
        <f>IF($B388="","",IFERROR(VLOOKUP($B388,'تنظیمات'!$A$4:$C$43,2,FALSE),1))</f>
        <v/>
      </c>
      <c r="M388" s="21">
        <f>IF($B388="","",IFERROR(VLOOKUP($B388,'تنظیمات'!$A$4:$C$43,3,FALSE),"USD"))</f>
        <v/>
      </c>
      <c r="N388" s="22">
        <f>IF(OR($E388="",$F388="",$H388="",$L388=""),"",ABS($E388-$F388)*$H388*IF($M388="BASE",$L388/$E388,$L388))</f>
        <v/>
      </c>
      <c r="O388" s="22">
        <f>IF($J388&lt;&gt;"",$J388,IF(OR($E388="",$G388="",$H388="",$L388=""),"",($G388-$E388)*IF($C388="فروش",-1,1)*$H388*IF($M388="BASE",$L388/$G388,$L388)))</f>
        <v/>
      </c>
      <c r="P388" s="22">
        <f>IF($O388="","",$O388-N($I388))</f>
        <v/>
      </c>
      <c r="Q388" s="23">
        <f>IF(OR($P388="",$N388="",$N388=0),"",$P388/$N388)</f>
        <v/>
      </c>
      <c r="R388" s="21">
        <f>IF($P388="","",IF($P388&gt;0,"برد",IF($P388&lt;0,"باخت","سر به سر")))</f>
        <v/>
      </c>
      <c r="S388" s="22">
        <f>IF($P388="","",SUM($P$5:$P388))</f>
        <v/>
      </c>
      <c r="T388" s="24">
        <f>IF($R388="باخت",N($T387)+1,0)</f>
        <v/>
      </c>
      <c r="U388" s="22">
        <f>IF($S388="","",$S388-MAX($S$5:$S388))</f>
        <v/>
      </c>
    </row>
    <row r="389">
      <c r="A389" s="14" t="n"/>
      <c r="B389" s="15" t="n"/>
      <c r="C389" s="15" t="n"/>
      <c r="D389" s="15" t="n"/>
      <c r="E389" s="16" t="n"/>
      <c r="F389" s="16" t="n"/>
      <c r="G389" s="16" t="n"/>
      <c r="H389" s="17" t="n"/>
      <c r="I389" s="18" t="n"/>
      <c r="J389" s="18" t="n"/>
      <c r="K389" s="19" t="n"/>
      <c r="L389" s="20">
        <f>IF($B389="","",IFERROR(VLOOKUP($B389,'تنظیمات'!$A$4:$C$43,2,FALSE),1))</f>
        <v/>
      </c>
      <c r="M389" s="21">
        <f>IF($B389="","",IFERROR(VLOOKUP($B389,'تنظیمات'!$A$4:$C$43,3,FALSE),"USD"))</f>
        <v/>
      </c>
      <c r="N389" s="22">
        <f>IF(OR($E389="",$F389="",$H389="",$L389=""),"",ABS($E389-$F389)*$H389*IF($M389="BASE",$L389/$E389,$L389))</f>
        <v/>
      </c>
      <c r="O389" s="22">
        <f>IF($J389&lt;&gt;"",$J389,IF(OR($E389="",$G389="",$H389="",$L389=""),"",($G389-$E389)*IF($C389="فروش",-1,1)*$H389*IF($M389="BASE",$L389/$G389,$L389)))</f>
        <v/>
      </c>
      <c r="P389" s="22">
        <f>IF($O389="","",$O389-N($I389))</f>
        <v/>
      </c>
      <c r="Q389" s="23">
        <f>IF(OR($P389="",$N389="",$N389=0),"",$P389/$N389)</f>
        <v/>
      </c>
      <c r="R389" s="21">
        <f>IF($P389="","",IF($P389&gt;0,"برد",IF($P389&lt;0,"باخت","سر به سر")))</f>
        <v/>
      </c>
      <c r="S389" s="22">
        <f>IF($P389="","",SUM($P$5:$P389))</f>
        <v/>
      </c>
      <c r="T389" s="24">
        <f>IF($R389="باخت",N($T388)+1,0)</f>
        <v/>
      </c>
      <c r="U389" s="22">
        <f>IF($S389="","",$S389-MAX($S$5:$S389))</f>
        <v/>
      </c>
    </row>
    <row r="390">
      <c r="A390" s="14" t="n"/>
      <c r="B390" s="15" t="n"/>
      <c r="C390" s="15" t="n"/>
      <c r="D390" s="15" t="n"/>
      <c r="E390" s="16" t="n"/>
      <c r="F390" s="16" t="n"/>
      <c r="G390" s="16" t="n"/>
      <c r="H390" s="17" t="n"/>
      <c r="I390" s="18" t="n"/>
      <c r="J390" s="18" t="n"/>
      <c r="K390" s="19" t="n"/>
      <c r="L390" s="20">
        <f>IF($B390="","",IFERROR(VLOOKUP($B390,'تنظیمات'!$A$4:$C$43,2,FALSE),1))</f>
        <v/>
      </c>
      <c r="M390" s="21">
        <f>IF($B390="","",IFERROR(VLOOKUP($B390,'تنظیمات'!$A$4:$C$43,3,FALSE),"USD"))</f>
        <v/>
      </c>
      <c r="N390" s="22">
        <f>IF(OR($E390="",$F390="",$H390="",$L390=""),"",ABS($E390-$F390)*$H390*IF($M390="BASE",$L390/$E390,$L390))</f>
        <v/>
      </c>
      <c r="O390" s="22">
        <f>IF($J390&lt;&gt;"",$J390,IF(OR($E390="",$G390="",$H390="",$L390=""),"",($G390-$E390)*IF($C390="فروش",-1,1)*$H390*IF($M390="BASE",$L390/$G390,$L390)))</f>
        <v/>
      </c>
      <c r="P390" s="22">
        <f>IF($O390="","",$O390-N($I390))</f>
        <v/>
      </c>
      <c r="Q390" s="23">
        <f>IF(OR($P390="",$N390="",$N390=0),"",$P390/$N390)</f>
        <v/>
      </c>
      <c r="R390" s="21">
        <f>IF($P390="","",IF($P390&gt;0,"برد",IF($P390&lt;0,"باخت","سر به سر")))</f>
        <v/>
      </c>
      <c r="S390" s="22">
        <f>IF($P390="","",SUM($P$5:$P390))</f>
        <v/>
      </c>
      <c r="T390" s="24">
        <f>IF($R390="باخت",N($T389)+1,0)</f>
        <v/>
      </c>
      <c r="U390" s="22">
        <f>IF($S390="","",$S390-MAX($S$5:$S390))</f>
        <v/>
      </c>
    </row>
    <row r="391">
      <c r="A391" s="14" t="n"/>
      <c r="B391" s="15" t="n"/>
      <c r="C391" s="15" t="n"/>
      <c r="D391" s="15" t="n"/>
      <c r="E391" s="16" t="n"/>
      <c r="F391" s="16" t="n"/>
      <c r="G391" s="16" t="n"/>
      <c r="H391" s="17" t="n"/>
      <c r="I391" s="18" t="n"/>
      <c r="J391" s="18" t="n"/>
      <c r="K391" s="19" t="n"/>
      <c r="L391" s="20">
        <f>IF($B391="","",IFERROR(VLOOKUP($B391,'تنظیمات'!$A$4:$C$43,2,FALSE),1))</f>
        <v/>
      </c>
      <c r="M391" s="21">
        <f>IF($B391="","",IFERROR(VLOOKUP($B391,'تنظیمات'!$A$4:$C$43,3,FALSE),"USD"))</f>
        <v/>
      </c>
      <c r="N391" s="22">
        <f>IF(OR($E391="",$F391="",$H391="",$L391=""),"",ABS($E391-$F391)*$H391*IF($M391="BASE",$L391/$E391,$L391))</f>
        <v/>
      </c>
      <c r="O391" s="22">
        <f>IF($J391&lt;&gt;"",$J391,IF(OR($E391="",$G391="",$H391="",$L391=""),"",($G391-$E391)*IF($C391="فروش",-1,1)*$H391*IF($M391="BASE",$L391/$G391,$L391)))</f>
        <v/>
      </c>
      <c r="P391" s="22">
        <f>IF($O391="","",$O391-N($I391))</f>
        <v/>
      </c>
      <c r="Q391" s="23">
        <f>IF(OR($P391="",$N391="",$N391=0),"",$P391/$N391)</f>
        <v/>
      </c>
      <c r="R391" s="21">
        <f>IF($P391="","",IF($P391&gt;0,"برد",IF($P391&lt;0,"باخت","سر به سر")))</f>
        <v/>
      </c>
      <c r="S391" s="22">
        <f>IF($P391="","",SUM($P$5:$P391))</f>
        <v/>
      </c>
      <c r="T391" s="24">
        <f>IF($R391="باخت",N($T390)+1,0)</f>
        <v/>
      </c>
      <c r="U391" s="22">
        <f>IF($S391="","",$S391-MAX($S$5:$S391))</f>
        <v/>
      </c>
    </row>
    <row r="392">
      <c r="A392" s="14" t="n"/>
      <c r="B392" s="15" t="n"/>
      <c r="C392" s="15" t="n"/>
      <c r="D392" s="15" t="n"/>
      <c r="E392" s="16" t="n"/>
      <c r="F392" s="16" t="n"/>
      <c r="G392" s="16" t="n"/>
      <c r="H392" s="17" t="n"/>
      <c r="I392" s="18" t="n"/>
      <c r="J392" s="18" t="n"/>
      <c r="K392" s="19" t="n"/>
      <c r="L392" s="20">
        <f>IF($B392="","",IFERROR(VLOOKUP($B392,'تنظیمات'!$A$4:$C$43,2,FALSE),1))</f>
        <v/>
      </c>
      <c r="M392" s="21">
        <f>IF($B392="","",IFERROR(VLOOKUP($B392,'تنظیمات'!$A$4:$C$43,3,FALSE),"USD"))</f>
        <v/>
      </c>
      <c r="N392" s="22">
        <f>IF(OR($E392="",$F392="",$H392="",$L392=""),"",ABS($E392-$F392)*$H392*IF($M392="BASE",$L392/$E392,$L392))</f>
        <v/>
      </c>
      <c r="O392" s="22">
        <f>IF($J392&lt;&gt;"",$J392,IF(OR($E392="",$G392="",$H392="",$L392=""),"",($G392-$E392)*IF($C392="فروش",-1,1)*$H392*IF($M392="BASE",$L392/$G392,$L392)))</f>
        <v/>
      </c>
      <c r="P392" s="22">
        <f>IF($O392="","",$O392-N($I392))</f>
        <v/>
      </c>
      <c r="Q392" s="23">
        <f>IF(OR($P392="",$N392="",$N392=0),"",$P392/$N392)</f>
        <v/>
      </c>
      <c r="R392" s="21">
        <f>IF($P392="","",IF($P392&gt;0,"برد",IF($P392&lt;0,"باخت","سر به سر")))</f>
        <v/>
      </c>
      <c r="S392" s="22">
        <f>IF($P392="","",SUM($P$5:$P392))</f>
        <v/>
      </c>
      <c r="T392" s="24">
        <f>IF($R392="باخت",N($T391)+1,0)</f>
        <v/>
      </c>
      <c r="U392" s="22">
        <f>IF($S392="","",$S392-MAX($S$5:$S392))</f>
        <v/>
      </c>
    </row>
    <row r="393">
      <c r="A393" s="14" t="n"/>
      <c r="B393" s="15" t="n"/>
      <c r="C393" s="15" t="n"/>
      <c r="D393" s="15" t="n"/>
      <c r="E393" s="16" t="n"/>
      <c r="F393" s="16" t="n"/>
      <c r="G393" s="16" t="n"/>
      <c r="H393" s="17" t="n"/>
      <c r="I393" s="18" t="n"/>
      <c r="J393" s="18" t="n"/>
      <c r="K393" s="19" t="n"/>
      <c r="L393" s="20">
        <f>IF($B393="","",IFERROR(VLOOKUP($B393,'تنظیمات'!$A$4:$C$43,2,FALSE),1))</f>
        <v/>
      </c>
      <c r="M393" s="21">
        <f>IF($B393="","",IFERROR(VLOOKUP($B393,'تنظیمات'!$A$4:$C$43,3,FALSE),"USD"))</f>
        <v/>
      </c>
      <c r="N393" s="22">
        <f>IF(OR($E393="",$F393="",$H393="",$L393=""),"",ABS($E393-$F393)*$H393*IF($M393="BASE",$L393/$E393,$L393))</f>
        <v/>
      </c>
      <c r="O393" s="22">
        <f>IF($J393&lt;&gt;"",$J393,IF(OR($E393="",$G393="",$H393="",$L393=""),"",($G393-$E393)*IF($C393="فروش",-1,1)*$H393*IF($M393="BASE",$L393/$G393,$L393)))</f>
        <v/>
      </c>
      <c r="P393" s="22">
        <f>IF($O393="","",$O393-N($I393))</f>
        <v/>
      </c>
      <c r="Q393" s="23">
        <f>IF(OR($P393="",$N393="",$N393=0),"",$P393/$N393)</f>
        <v/>
      </c>
      <c r="R393" s="21">
        <f>IF($P393="","",IF($P393&gt;0,"برد",IF($P393&lt;0,"باخت","سر به سر")))</f>
        <v/>
      </c>
      <c r="S393" s="22">
        <f>IF($P393="","",SUM($P$5:$P393))</f>
        <v/>
      </c>
      <c r="T393" s="24">
        <f>IF($R393="باخت",N($T392)+1,0)</f>
        <v/>
      </c>
      <c r="U393" s="22">
        <f>IF($S393="","",$S393-MAX($S$5:$S393))</f>
        <v/>
      </c>
    </row>
    <row r="394">
      <c r="A394" s="14" t="n"/>
      <c r="B394" s="15" t="n"/>
      <c r="C394" s="15" t="n"/>
      <c r="D394" s="15" t="n"/>
      <c r="E394" s="16" t="n"/>
      <c r="F394" s="16" t="n"/>
      <c r="G394" s="16" t="n"/>
      <c r="H394" s="17" t="n"/>
      <c r="I394" s="18" t="n"/>
      <c r="J394" s="18" t="n"/>
      <c r="K394" s="19" t="n"/>
      <c r="L394" s="20">
        <f>IF($B394="","",IFERROR(VLOOKUP($B394,'تنظیمات'!$A$4:$C$43,2,FALSE),1))</f>
        <v/>
      </c>
      <c r="M394" s="21">
        <f>IF($B394="","",IFERROR(VLOOKUP($B394,'تنظیمات'!$A$4:$C$43,3,FALSE),"USD"))</f>
        <v/>
      </c>
      <c r="N394" s="22">
        <f>IF(OR($E394="",$F394="",$H394="",$L394=""),"",ABS($E394-$F394)*$H394*IF($M394="BASE",$L394/$E394,$L394))</f>
        <v/>
      </c>
      <c r="O394" s="22">
        <f>IF($J394&lt;&gt;"",$J394,IF(OR($E394="",$G394="",$H394="",$L394=""),"",($G394-$E394)*IF($C394="فروش",-1,1)*$H394*IF($M394="BASE",$L394/$G394,$L394)))</f>
        <v/>
      </c>
      <c r="P394" s="22">
        <f>IF($O394="","",$O394-N($I394))</f>
        <v/>
      </c>
      <c r="Q394" s="23">
        <f>IF(OR($P394="",$N394="",$N394=0),"",$P394/$N394)</f>
        <v/>
      </c>
      <c r="R394" s="21">
        <f>IF($P394="","",IF($P394&gt;0,"برد",IF($P394&lt;0,"باخت","سر به سر")))</f>
        <v/>
      </c>
      <c r="S394" s="22">
        <f>IF($P394="","",SUM($P$5:$P394))</f>
        <v/>
      </c>
      <c r="T394" s="24">
        <f>IF($R394="باخت",N($T393)+1,0)</f>
        <v/>
      </c>
      <c r="U394" s="22">
        <f>IF($S394="","",$S394-MAX($S$5:$S394))</f>
        <v/>
      </c>
    </row>
    <row r="395">
      <c r="A395" s="14" t="n"/>
      <c r="B395" s="15" t="n"/>
      <c r="C395" s="15" t="n"/>
      <c r="D395" s="15" t="n"/>
      <c r="E395" s="16" t="n"/>
      <c r="F395" s="16" t="n"/>
      <c r="G395" s="16" t="n"/>
      <c r="H395" s="17" t="n"/>
      <c r="I395" s="18" t="n"/>
      <c r="J395" s="18" t="n"/>
      <c r="K395" s="19" t="n"/>
      <c r="L395" s="20">
        <f>IF($B395="","",IFERROR(VLOOKUP($B395,'تنظیمات'!$A$4:$C$43,2,FALSE),1))</f>
        <v/>
      </c>
      <c r="M395" s="21">
        <f>IF($B395="","",IFERROR(VLOOKUP($B395,'تنظیمات'!$A$4:$C$43,3,FALSE),"USD"))</f>
        <v/>
      </c>
      <c r="N395" s="22">
        <f>IF(OR($E395="",$F395="",$H395="",$L395=""),"",ABS($E395-$F395)*$H395*IF($M395="BASE",$L395/$E395,$L395))</f>
        <v/>
      </c>
      <c r="O395" s="22">
        <f>IF($J395&lt;&gt;"",$J395,IF(OR($E395="",$G395="",$H395="",$L395=""),"",($G395-$E395)*IF($C395="فروش",-1,1)*$H395*IF($M395="BASE",$L395/$G395,$L395)))</f>
        <v/>
      </c>
      <c r="P395" s="22">
        <f>IF($O395="","",$O395-N($I395))</f>
        <v/>
      </c>
      <c r="Q395" s="23">
        <f>IF(OR($P395="",$N395="",$N395=0),"",$P395/$N395)</f>
        <v/>
      </c>
      <c r="R395" s="21">
        <f>IF($P395="","",IF($P395&gt;0,"برد",IF($P395&lt;0,"باخت","سر به سر")))</f>
        <v/>
      </c>
      <c r="S395" s="22">
        <f>IF($P395="","",SUM($P$5:$P395))</f>
        <v/>
      </c>
      <c r="T395" s="24">
        <f>IF($R395="باخت",N($T394)+1,0)</f>
        <v/>
      </c>
      <c r="U395" s="22">
        <f>IF($S395="","",$S395-MAX($S$5:$S395))</f>
        <v/>
      </c>
    </row>
    <row r="396">
      <c r="A396" s="14" t="n"/>
      <c r="B396" s="15" t="n"/>
      <c r="C396" s="15" t="n"/>
      <c r="D396" s="15" t="n"/>
      <c r="E396" s="16" t="n"/>
      <c r="F396" s="16" t="n"/>
      <c r="G396" s="16" t="n"/>
      <c r="H396" s="17" t="n"/>
      <c r="I396" s="18" t="n"/>
      <c r="J396" s="18" t="n"/>
      <c r="K396" s="19" t="n"/>
      <c r="L396" s="20">
        <f>IF($B396="","",IFERROR(VLOOKUP($B396,'تنظیمات'!$A$4:$C$43,2,FALSE),1))</f>
        <v/>
      </c>
      <c r="M396" s="21">
        <f>IF($B396="","",IFERROR(VLOOKUP($B396,'تنظیمات'!$A$4:$C$43,3,FALSE),"USD"))</f>
        <v/>
      </c>
      <c r="N396" s="22">
        <f>IF(OR($E396="",$F396="",$H396="",$L396=""),"",ABS($E396-$F396)*$H396*IF($M396="BASE",$L396/$E396,$L396))</f>
        <v/>
      </c>
      <c r="O396" s="22">
        <f>IF($J396&lt;&gt;"",$J396,IF(OR($E396="",$G396="",$H396="",$L396=""),"",($G396-$E396)*IF($C396="فروش",-1,1)*$H396*IF($M396="BASE",$L396/$G396,$L396)))</f>
        <v/>
      </c>
      <c r="P396" s="22">
        <f>IF($O396="","",$O396-N($I396))</f>
        <v/>
      </c>
      <c r="Q396" s="23">
        <f>IF(OR($P396="",$N396="",$N396=0),"",$P396/$N396)</f>
        <v/>
      </c>
      <c r="R396" s="21">
        <f>IF($P396="","",IF($P396&gt;0,"برد",IF($P396&lt;0,"باخت","سر به سر")))</f>
        <v/>
      </c>
      <c r="S396" s="22">
        <f>IF($P396="","",SUM($P$5:$P396))</f>
        <v/>
      </c>
      <c r="T396" s="24">
        <f>IF($R396="باخت",N($T395)+1,0)</f>
        <v/>
      </c>
      <c r="U396" s="22">
        <f>IF($S396="","",$S396-MAX($S$5:$S396))</f>
        <v/>
      </c>
    </row>
    <row r="397">
      <c r="A397" s="14" t="n"/>
      <c r="B397" s="15" t="n"/>
      <c r="C397" s="15" t="n"/>
      <c r="D397" s="15" t="n"/>
      <c r="E397" s="16" t="n"/>
      <c r="F397" s="16" t="n"/>
      <c r="G397" s="16" t="n"/>
      <c r="H397" s="17" t="n"/>
      <c r="I397" s="18" t="n"/>
      <c r="J397" s="18" t="n"/>
      <c r="K397" s="19" t="n"/>
      <c r="L397" s="20">
        <f>IF($B397="","",IFERROR(VLOOKUP($B397,'تنظیمات'!$A$4:$C$43,2,FALSE),1))</f>
        <v/>
      </c>
      <c r="M397" s="21">
        <f>IF($B397="","",IFERROR(VLOOKUP($B397,'تنظیمات'!$A$4:$C$43,3,FALSE),"USD"))</f>
        <v/>
      </c>
      <c r="N397" s="22">
        <f>IF(OR($E397="",$F397="",$H397="",$L397=""),"",ABS($E397-$F397)*$H397*IF($M397="BASE",$L397/$E397,$L397))</f>
        <v/>
      </c>
      <c r="O397" s="22">
        <f>IF($J397&lt;&gt;"",$J397,IF(OR($E397="",$G397="",$H397="",$L397=""),"",($G397-$E397)*IF($C397="فروش",-1,1)*$H397*IF($M397="BASE",$L397/$G397,$L397)))</f>
        <v/>
      </c>
      <c r="P397" s="22">
        <f>IF($O397="","",$O397-N($I397))</f>
        <v/>
      </c>
      <c r="Q397" s="23">
        <f>IF(OR($P397="",$N397="",$N397=0),"",$P397/$N397)</f>
        <v/>
      </c>
      <c r="R397" s="21">
        <f>IF($P397="","",IF($P397&gt;0,"برد",IF($P397&lt;0,"باخت","سر به سر")))</f>
        <v/>
      </c>
      <c r="S397" s="22">
        <f>IF($P397="","",SUM($P$5:$P397))</f>
        <v/>
      </c>
      <c r="T397" s="24">
        <f>IF($R397="باخت",N($T396)+1,0)</f>
        <v/>
      </c>
      <c r="U397" s="22">
        <f>IF($S397="","",$S397-MAX($S$5:$S397))</f>
        <v/>
      </c>
    </row>
    <row r="398">
      <c r="A398" s="14" t="n"/>
      <c r="B398" s="15" t="n"/>
      <c r="C398" s="15" t="n"/>
      <c r="D398" s="15" t="n"/>
      <c r="E398" s="16" t="n"/>
      <c r="F398" s="16" t="n"/>
      <c r="G398" s="16" t="n"/>
      <c r="H398" s="17" t="n"/>
      <c r="I398" s="18" t="n"/>
      <c r="J398" s="18" t="n"/>
      <c r="K398" s="19" t="n"/>
      <c r="L398" s="20">
        <f>IF($B398="","",IFERROR(VLOOKUP($B398,'تنظیمات'!$A$4:$C$43,2,FALSE),1))</f>
        <v/>
      </c>
      <c r="M398" s="21">
        <f>IF($B398="","",IFERROR(VLOOKUP($B398,'تنظیمات'!$A$4:$C$43,3,FALSE),"USD"))</f>
        <v/>
      </c>
      <c r="N398" s="22">
        <f>IF(OR($E398="",$F398="",$H398="",$L398=""),"",ABS($E398-$F398)*$H398*IF($M398="BASE",$L398/$E398,$L398))</f>
        <v/>
      </c>
      <c r="O398" s="22">
        <f>IF($J398&lt;&gt;"",$J398,IF(OR($E398="",$G398="",$H398="",$L398=""),"",($G398-$E398)*IF($C398="فروش",-1,1)*$H398*IF($M398="BASE",$L398/$G398,$L398)))</f>
        <v/>
      </c>
      <c r="P398" s="22">
        <f>IF($O398="","",$O398-N($I398))</f>
        <v/>
      </c>
      <c r="Q398" s="23">
        <f>IF(OR($P398="",$N398="",$N398=0),"",$P398/$N398)</f>
        <v/>
      </c>
      <c r="R398" s="21">
        <f>IF($P398="","",IF($P398&gt;0,"برد",IF($P398&lt;0,"باخت","سر به سر")))</f>
        <v/>
      </c>
      <c r="S398" s="22">
        <f>IF($P398="","",SUM($P$5:$P398))</f>
        <v/>
      </c>
      <c r="T398" s="24">
        <f>IF($R398="باخت",N($T397)+1,0)</f>
        <v/>
      </c>
      <c r="U398" s="22">
        <f>IF($S398="","",$S398-MAX($S$5:$S398))</f>
        <v/>
      </c>
    </row>
    <row r="399">
      <c r="A399" s="14" t="n"/>
      <c r="B399" s="15" t="n"/>
      <c r="C399" s="15" t="n"/>
      <c r="D399" s="15" t="n"/>
      <c r="E399" s="16" t="n"/>
      <c r="F399" s="16" t="n"/>
      <c r="G399" s="16" t="n"/>
      <c r="H399" s="17" t="n"/>
      <c r="I399" s="18" t="n"/>
      <c r="J399" s="18" t="n"/>
      <c r="K399" s="19" t="n"/>
      <c r="L399" s="20">
        <f>IF($B399="","",IFERROR(VLOOKUP($B399,'تنظیمات'!$A$4:$C$43,2,FALSE),1))</f>
        <v/>
      </c>
      <c r="M399" s="21">
        <f>IF($B399="","",IFERROR(VLOOKUP($B399,'تنظیمات'!$A$4:$C$43,3,FALSE),"USD"))</f>
        <v/>
      </c>
      <c r="N399" s="22">
        <f>IF(OR($E399="",$F399="",$H399="",$L399=""),"",ABS($E399-$F399)*$H399*IF($M399="BASE",$L399/$E399,$L399))</f>
        <v/>
      </c>
      <c r="O399" s="22">
        <f>IF($J399&lt;&gt;"",$J399,IF(OR($E399="",$G399="",$H399="",$L399=""),"",($G399-$E399)*IF($C399="فروش",-1,1)*$H399*IF($M399="BASE",$L399/$G399,$L399)))</f>
        <v/>
      </c>
      <c r="P399" s="22">
        <f>IF($O399="","",$O399-N($I399))</f>
        <v/>
      </c>
      <c r="Q399" s="23">
        <f>IF(OR($P399="",$N399="",$N399=0),"",$P399/$N399)</f>
        <v/>
      </c>
      <c r="R399" s="21">
        <f>IF($P399="","",IF($P399&gt;0,"برد",IF($P399&lt;0,"باخت","سر به سر")))</f>
        <v/>
      </c>
      <c r="S399" s="22">
        <f>IF($P399="","",SUM($P$5:$P399))</f>
        <v/>
      </c>
      <c r="T399" s="24">
        <f>IF($R399="باخت",N($T398)+1,0)</f>
        <v/>
      </c>
      <c r="U399" s="22">
        <f>IF($S399="","",$S399-MAX($S$5:$S399))</f>
        <v/>
      </c>
    </row>
    <row r="400">
      <c r="A400" s="14" t="n"/>
      <c r="B400" s="15" t="n"/>
      <c r="C400" s="15" t="n"/>
      <c r="D400" s="15" t="n"/>
      <c r="E400" s="16" t="n"/>
      <c r="F400" s="16" t="n"/>
      <c r="G400" s="16" t="n"/>
      <c r="H400" s="17" t="n"/>
      <c r="I400" s="18" t="n"/>
      <c r="J400" s="18" t="n"/>
      <c r="K400" s="19" t="n"/>
      <c r="L400" s="20">
        <f>IF($B400="","",IFERROR(VLOOKUP($B400,'تنظیمات'!$A$4:$C$43,2,FALSE),1))</f>
        <v/>
      </c>
      <c r="M400" s="21">
        <f>IF($B400="","",IFERROR(VLOOKUP($B400,'تنظیمات'!$A$4:$C$43,3,FALSE),"USD"))</f>
        <v/>
      </c>
      <c r="N400" s="22">
        <f>IF(OR($E400="",$F400="",$H400="",$L400=""),"",ABS($E400-$F400)*$H400*IF($M400="BASE",$L400/$E400,$L400))</f>
        <v/>
      </c>
      <c r="O400" s="22">
        <f>IF($J400&lt;&gt;"",$J400,IF(OR($E400="",$G400="",$H400="",$L400=""),"",($G400-$E400)*IF($C400="فروش",-1,1)*$H400*IF($M400="BASE",$L400/$G400,$L400)))</f>
        <v/>
      </c>
      <c r="P400" s="22">
        <f>IF($O400="","",$O400-N($I400))</f>
        <v/>
      </c>
      <c r="Q400" s="23">
        <f>IF(OR($P400="",$N400="",$N400=0),"",$P400/$N400)</f>
        <v/>
      </c>
      <c r="R400" s="21">
        <f>IF($P400="","",IF($P400&gt;0,"برد",IF($P400&lt;0,"باخت","سر به سر")))</f>
        <v/>
      </c>
      <c r="S400" s="22">
        <f>IF($P400="","",SUM($P$5:$P400))</f>
        <v/>
      </c>
      <c r="T400" s="24">
        <f>IF($R400="باخت",N($T399)+1,0)</f>
        <v/>
      </c>
      <c r="U400" s="22">
        <f>IF($S400="","",$S400-MAX($S$5:$S400))</f>
        <v/>
      </c>
    </row>
    <row r="401">
      <c r="A401" s="14" t="n"/>
      <c r="B401" s="15" t="n"/>
      <c r="C401" s="15" t="n"/>
      <c r="D401" s="15" t="n"/>
      <c r="E401" s="16" t="n"/>
      <c r="F401" s="16" t="n"/>
      <c r="G401" s="16" t="n"/>
      <c r="H401" s="17" t="n"/>
      <c r="I401" s="18" t="n"/>
      <c r="J401" s="18" t="n"/>
      <c r="K401" s="19" t="n"/>
      <c r="L401" s="20">
        <f>IF($B401="","",IFERROR(VLOOKUP($B401,'تنظیمات'!$A$4:$C$43,2,FALSE),1))</f>
        <v/>
      </c>
      <c r="M401" s="21">
        <f>IF($B401="","",IFERROR(VLOOKUP($B401,'تنظیمات'!$A$4:$C$43,3,FALSE),"USD"))</f>
        <v/>
      </c>
      <c r="N401" s="22">
        <f>IF(OR($E401="",$F401="",$H401="",$L401=""),"",ABS($E401-$F401)*$H401*IF($M401="BASE",$L401/$E401,$L401))</f>
        <v/>
      </c>
      <c r="O401" s="22">
        <f>IF($J401&lt;&gt;"",$J401,IF(OR($E401="",$G401="",$H401="",$L401=""),"",($G401-$E401)*IF($C401="فروش",-1,1)*$H401*IF($M401="BASE",$L401/$G401,$L401)))</f>
        <v/>
      </c>
      <c r="P401" s="22">
        <f>IF($O401="","",$O401-N($I401))</f>
        <v/>
      </c>
      <c r="Q401" s="23">
        <f>IF(OR($P401="",$N401="",$N401=0),"",$P401/$N401)</f>
        <v/>
      </c>
      <c r="R401" s="21">
        <f>IF($P401="","",IF($P401&gt;0,"برد",IF($P401&lt;0,"باخت","سر به سر")))</f>
        <v/>
      </c>
      <c r="S401" s="22">
        <f>IF($P401="","",SUM($P$5:$P401))</f>
        <v/>
      </c>
      <c r="T401" s="24">
        <f>IF($R401="باخت",N($T400)+1,0)</f>
        <v/>
      </c>
      <c r="U401" s="22">
        <f>IF($S401="","",$S401-MAX($S$5:$S401))</f>
        <v/>
      </c>
    </row>
    <row r="402">
      <c r="A402" s="14" t="n"/>
      <c r="B402" s="15" t="n"/>
      <c r="C402" s="15" t="n"/>
      <c r="D402" s="15" t="n"/>
      <c r="E402" s="16" t="n"/>
      <c r="F402" s="16" t="n"/>
      <c r="G402" s="16" t="n"/>
      <c r="H402" s="17" t="n"/>
      <c r="I402" s="18" t="n"/>
      <c r="J402" s="18" t="n"/>
      <c r="K402" s="19" t="n"/>
      <c r="L402" s="20">
        <f>IF($B402="","",IFERROR(VLOOKUP($B402,'تنظیمات'!$A$4:$C$43,2,FALSE),1))</f>
        <v/>
      </c>
      <c r="M402" s="21">
        <f>IF($B402="","",IFERROR(VLOOKUP($B402,'تنظیمات'!$A$4:$C$43,3,FALSE),"USD"))</f>
        <v/>
      </c>
      <c r="N402" s="22">
        <f>IF(OR($E402="",$F402="",$H402="",$L402=""),"",ABS($E402-$F402)*$H402*IF($M402="BASE",$L402/$E402,$L402))</f>
        <v/>
      </c>
      <c r="O402" s="22">
        <f>IF($J402&lt;&gt;"",$J402,IF(OR($E402="",$G402="",$H402="",$L402=""),"",($G402-$E402)*IF($C402="فروش",-1,1)*$H402*IF($M402="BASE",$L402/$G402,$L402)))</f>
        <v/>
      </c>
      <c r="P402" s="22">
        <f>IF($O402="","",$O402-N($I402))</f>
        <v/>
      </c>
      <c r="Q402" s="23">
        <f>IF(OR($P402="",$N402="",$N402=0),"",$P402/$N402)</f>
        <v/>
      </c>
      <c r="R402" s="21">
        <f>IF($P402="","",IF($P402&gt;0,"برد",IF($P402&lt;0,"باخت","سر به سر")))</f>
        <v/>
      </c>
      <c r="S402" s="22">
        <f>IF($P402="","",SUM($P$5:$P402))</f>
        <v/>
      </c>
      <c r="T402" s="24">
        <f>IF($R402="باخت",N($T401)+1,0)</f>
        <v/>
      </c>
      <c r="U402" s="22">
        <f>IF($S402="","",$S402-MAX($S$5:$S402))</f>
        <v/>
      </c>
    </row>
    <row r="403">
      <c r="A403" s="14" t="n"/>
      <c r="B403" s="15" t="n"/>
      <c r="C403" s="15" t="n"/>
      <c r="D403" s="15" t="n"/>
      <c r="E403" s="16" t="n"/>
      <c r="F403" s="16" t="n"/>
      <c r="G403" s="16" t="n"/>
      <c r="H403" s="17" t="n"/>
      <c r="I403" s="18" t="n"/>
      <c r="J403" s="18" t="n"/>
      <c r="K403" s="19" t="n"/>
      <c r="L403" s="20">
        <f>IF($B403="","",IFERROR(VLOOKUP($B403,'تنظیمات'!$A$4:$C$43,2,FALSE),1))</f>
        <v/>
      </c>
      <c r="M403" s="21">
        <f>IF($B403="","",IFERROR(VLOOKUP($B403,'تنظیمات'!$A$4:$C$43,3,FALSE),"USD"))</f>
        <v/>
      </c>
      <c r="N403" s="22">
        <f>IF(OR($E403="",$F403="",$H403="",$L403=""),"",ABS($E403-$F403)*$H403*IF($M403="BASE",$L403/$E403,$L403))</f>
        <v/>
      </c>
      <c r="O403" s="22">
        <f>IF($J403&lt;&gt;"",$J403,IF(OR($E403="",$G403="",$H403="",$L403=""),"",($G403-$E403)*IF($C403="فروش",-1,1)*$H403*IF($M403="BASE",$L403/$G403,$L403)))</f>
        <v/>
      </c>
      <c r="P403" s="22">
        <f>IF($O403="","",$O403-N($I403))</f>
        <v/>
      </c>
      <c r="Q403" s="23">
        <f>IF(OR($P403="",$N403="",$N403=0),"",$P403/$N403)</f>
        <v/>
      </c>
      <c r="R403" s="21">
        <f>IF($P403="","",IF($P403&gt;0,"برد",IF($P403&lt;0,"باخت","سر به سر")))</f>
        <v/>
      </c>
      <c r="S403" s="22">
        <f>IF($P403="","",SUM($P$5:$P403))</f>
        <v/>
      </c>
      <c r="T403" s="24">
        <f>IF($R403="باخت",N($T402)+1,0)</f>
        <v/>
      </c>
      <c r="U403" s="22">
        <f>IF($S403="","",$S403-MAX($S$5:$S403))</f>
        <v/>
      </c>
    </row>
    <row r="404">
      <c r="A404" s="14" t="n"/>
      <c r="B404" s="15" t="n"/>
      <c r="C404" s="15" t="n"/>
      <c r="D404" s="15" t="n"/>
      <c r="E404" s="16" t="n"/>
      <c r="F404" s="16" t="n"/>
      <c r="G404" s="16" t="n"/>
      <c r="H404" s="17" t="n"/>
      <c r="I404" s="18" t="n"/>
      <c r="J404" s="18" t="n"/>
      <c r="K404" s="19" t="n"/>
      <c r="L404" s="20">
        <f>IF($B404="","",IFERROR(VLOOKUP($B404,'تنظیمات'!$A$4:$C$43,2,FALSE),1))</f>
        <v/>
      </c>
      <c r="M404" s="21">
        <f>IF($B404="","",IFERROR(VLOOKUP($B404,'تنظیمات'!$A$4:$C$43,3,FALSE),"USD"))</f>
        <v/>
      </c>
      <c r="N404" s="22">
        <f>IF(OR($E404="",$F404="",$H404="",$L404=""),"",ABS($E404-$F404)*$H404*IF($M404="BASE",$L404/$E404,$L404))</f>
        <v/>
      </c>
      <c r="O404" s="22">
        <f>IF($J404&lt;&gt;"",$J404,IF(OR($E404="",$G404="",$H404="",$L404=""),"",($G404-$E404)*IF($C404="فروش",-1,1)*$H404*IF($M404="BASE",$L404/$G404,$L404)))</f>
        <v/>
      </c>
      <c r="P404" s="22">
        <f>IF($O404="","",$O404-N($I404))</f>
        <v/>
      </c>
      <c r="Q404" s="23">
        <f>IF(OR($P404="",$N404="",$N404=0),"",$P404/$N404)</f>
        <v/>
      </c>
      <c r="R404" s="21">
        <f>IF($P404="","",IF($P404&gt;0,"برد",IF($P404&lt;0,"باخت","سر به سر")))</f>
        <v/>
      </c>
      <c r="S404" s="22">
        <f>IF($P404="","",SUM($P$5:$P404))</f>
        <v/>
      </c>
      <c r="T404" s="24">
        <f>IF($R404="باخت",N($T403)+1,0)</f>
        <v/>
      </c>
      <c r="U404" s="22">
        <f>IF($S404="","",$S404-MAX($S$5:$S404))</f>
        <v/>
      </c>
    </row>
    <row r="405">
      <c r="A405" s="14" t="n"/>
      <c r="B405" s="15" t="n"/>
      <c r="C405" s="15" t="n"/>
      <c r="D405" s="15" t="n"/>
      <c r="E405" s="16" t="n"/>
      <c r="F405" s="16" t="n"/>
      <c r="G405" s="16" t="n"/>
      <c r="H405" s="17" t="n"/>
      <c r="I405" s="18" t="n"/>
      <c r="J405" s="18" t="n"/>
      <c r="K405" s="19" t="n"/>
      <c r="L405" s="20">
        <f>IF($B405="","",IFERROR(VLOOKUP($B405,'تنظیمات'!$A$4:$C$43,2,FALSE),1))</f>
        <v/>
      </c>
      <c r="M405" s="21">
        <f>IF($B405="","",IFERROR(VLOOKUP($B405,'تنظیمات'!$A$4:$C$43,3,FALSE),"USD"))</f>
        <v/>
      </c>
      <c r="N405" s="22">
        <f>IF(OR($E405="",$F405="",$H405="",$L405=""),"",ABS($E405-$F405)*$H405*IF($M405="BASE",$L405/$E405,$L405))</f>
        <v/>
      </c>
      <c r="O405" s="22">
        <f>IF($J405&lt;&gt;"",$J405,IF(OR($E405="",$G405="",$H405="",$L405=""),"",($G405-$E405)*IF($C405="فروش",-1,1)*$H405*IF($M405="BASE",$L405/$G405,$L405)))</f>
        <v/>
      </c>
      <c r="P405" s="22">
        <f>IF($O405="","",$O405-N($I405))</f>
        <v/>
      </c>
      <c r="Q405" s="23">
        <f>IF(OR($P405="",$N405="",$N405=0),"",$P405/$N405)</f>
        <v/>
      </c>
      <c r="R405" s="21">
        <f>IF($P405="","",IF($P405&gt;0,"برد",IF($P405&lt;0,"باخت","سر به سر")))</f>
        <v/>
      </c>
      <c r="S405" s="22">
        <f>IF($P405="","",SUM($P$5:$P405))</f>
        <v/>
      </c>
      <c r="T405" s="24">
        <f>IF($R405="باخت",N($T404)+1,0)</f>
        <v/>
      </c>
      <c r="U405" s="22">
        <f>IF($S405="","",$S405-MAX($S$5:$S405))</f>
        <v/>
      </c>
    </row>
    <row r="406">
      <c r="A406" s="14" t="n"/>
      <c r="B406" s="15" t="n"/>
      <c r="C406" s="15" t="n"/>
      <c r="D406" s="15" t="n"/>
      <c r="E406" s="16" t="n"/>
      <c r="F406" s="16" t="n"/>
      <c r="G406" s="16" t="n"/>
      <c r="H406" s="17" t="n"/>
      <c r="I406" s="18" t="n"/>
      <c r="J406" s="18" t="n"/>
      <c r="K406" s="19" t="n"/>
      <c r="L406" s="20">
        <f>IF($B406="","",IFERROR(VLOOKUP($B406,'تنظیمات'!$A$4:$C$43,2,FALSE),1))</f>
        <v/>
      </c>
      <c r="M406" s="21">
        <f>IF($B406="","",IFERROR(VLOOKUP($B406,'تنظیمات'!$A$4:$C$43,3,FALSE),"USD"))</f>
        <v/>
      </c>
      <c r="N406" s="22">
        <f>IF(OR($E406="",$F406="",$H406="",$L406=""),"",ABS($E406-$F406)*$H406*IF($M406="BASE",$L406/$E406,$L406))</f>
        <v/>
      </c>
      <c r="O406" s="22">
        <f>IF($J406&lt;&gt;"",$J406,IF(OR($E406="",$G406="",$H406="",$L406=""),"",($G406-$E406)*IF($C406="فروش",-1,1)*$H406*IF($M406="BASE",$L406/$G406,$L406)))</f>
        <v/>
      </c>
      <c r="P406" s="22">
        <f>IF($O406="","",$O406-N($I406))</f>
        <v/>
      </c>
      <c r="Q406" s="23">
        <f>IF(OR($P406="",$N406="",$N406=0),"",$P406/$N406)</f>
        <v/>
      </c>
      <c r="R406" s="21">
        <f>IF($P406="","",IF($P406&gt;0,"برد",IF($P406&lt;0,"باخت","سر به سر")))</f>
        <v/>
      </c>
      <c r="S406" s="22">
        <f>IF($P406="","",SUM($P$5:$P406))</f>
        <v/>
      </c>
      <c r="T406" s="24">
        <f>IF($R406="باخت",N($T405)+1,0)</f>
        <v/>
      </c>
      <c r="U406" s="22">
        <f>IF($S406="","",$S406-MAX($S$5:$S406))</f>
        <v/>
      </c>
    </row>
    <row r="407">
      <c r="A407" s="14" t="n"/>
      <c r="B407" s="15" t="n"/>
      <c r="C407" s="15" t="n"/>
      <c r="D407" s="15" t="n"/>
      <c r="E407" s="16" t="n"/>
      <c r="F407" s="16" t="n"/>
      <c r="G407" s="16" t="n"/>
      <c r="H407" s="17" t="n"/>
      <c r="I407" s="18" t="n"/>
      <c r="J407" s="18" t="n"/>
      <c r="K407" s="19" t="n"/>
      <c r="L407" s="20">
        <f>IF($B407="","",IFERROR(VLOOKUP($B407,'تنظیمات'!$A$4:$C$43,2,FALSE),1))</f>
        <v/>
      </c>
      <c r="M407" s="21">
        <f>IF($B407="","",IFERROR(VLOOKUP($B407,'تنظیمات'!$A$4:$C$43,3,FALSE),"USD"))</f>
        <v/>
      </c>
      <c r="N407" s="22">
        <f>IF(OR($E407="",$F407="",$H407="",$L407=""),"",ABS($E407-$F407)*$H407*IF($M407="BASE",$L407/$E407,$L407))</f>
        <v/>
      </c>
      <c r="O407" s="22">
        <f>IF($J407&lt;&gt;"",$J407,IF(OR($E407="",$G407="",$H407="",$L407=""),"",($G407-$E407)*IF($C407="فروش",-1,1)*$H407*IF($M407="BASE",$L407/$G407,$L407)))</f>
        <v/>
      </c>
      <c r="P407" s="22">
        <f>IF($O407="","",$O407-N($I407))</f>
        <v/>
      </c>
      <c r="Q407" s="23">
        <f>IF(OR($P407="",$N407="",$N407=0),"",$P407/$N407)</f>
        <v/>
      </c>
      <c r="R407" s="21">
        <f>IF($P407="","",IF($P407&gt;0,"برد",IF($P407&lt;0,"باخت","سر به سر")))</f>
        <v/>
      </c>
      <c r="S407" s="22">
        <f>IF($P407="","",SUM($P$5:$P407))</f>
        <v/>
      </c>
      <c r="T407" s="24">
        <f>IF($R407="باخت",N($T406)+1,0)</f>
        <v/>
      </c>
      <c r="U407" s="22">
        <f>IF($S407="","",$S407-MAX($S$5:$S407))</f>
        <v/>
      </c>
    </row>
    <row r="408">
      <c r="A408" s="14" t="n"/>
      <c r="B408" s="15" t="n"/>
      <c r="C408" s="15" t="n"/>
      <c r="D408" s="15" t="n"/>
      <c r="E408" s="16" t="n"/>
      <c r="F408" s="16" t="n"/>
      <c r="G408" s="16" t="n"/>
      <c r="H408" s="17" t="n"/>
      <c r="I408" s="18" t="n"/>
      <c r="J408" s="18" t="n"/>
      <c r="K408" s="19" t="n"/>
      <c r="L408" s="20">
        <f>IF($B408="","",IFERROR(VLOOKUP($B408,'تنظیمات'!$A$4:$C$43,2,FALSE),1))</f>
        <v/>
      </c>
      <c r="M408" s="21">
        <f>IF($B408="","",IFERROR(VLOOKUP($B408,'تنظیمات'!$A$4:$C$43,3,FALSE),"USD"))</f>
        <v/>
      </c>
      <c r="N408" s="22">
        <f>IF(OR($E408="",$F408="",$H408="",$L408=""),"",ABS($E408-$F408)*$H408*IF($M408="BASE",$L408/$E408,$L408))</f>
        <v/>
      </c>
      <c r="O408" s="22">
        <f>IF($J408&lt;&gt;"",$J408,IF(OR($E408="",$G408="",$H408="",$L408=""),"",($G408-$E408)*IF($C408="فروش",-1,1)*$H408*IF($M408="BASE",$L408/$G408,$L408)))</f>
        <v/>
      </c>
      <c r="P408" s="22">
        <f>IF($O408="","",$O408-N($I408))</f>
        <v/>
      </c>
      <c r="Q408" s="23">
        <f>IF(OR($P408="",$N408="",$N408=0),"",$P408/$N408)</f>
        <v/>
      </c>
      <c r="R408" s="21">
        <f>IF($P408="","",IF($P408&gt;0,"برد",IF($P408&lt;0,"باخت","سر به سر")))</f>
        <v/>
      </c>
      <c r="S408" s="22">
        <f>IF($P408="","",SUM($P$5:$P408))</f>
        <v/>
      </c>
      <c r="T408" s="24">
        <f>IF($R408="باخت",N($T407)+1,0)</f>
        <v/>
      </c>
      <c r="U408" s="22">
        <f>IF($S408="","",$S408-MAX($S$5:$S408))</f>
        <v/>
      </c>
    </row>
    <row r="409">
      <c r="A409" s="14" t="n"/>
      <c r="B409" s="15" t="n"/>
      <c r="C409" s="15" t="n"/>
      <c r="D409" s="15" t="n"/>
      <c r="E409" s="16" t="n"/>
      <c r="F409" s="16" t="n"/>
      <c r="G409" s="16" t="n"/>
      <c r="H409" s="17" t="n"/>
      <c r="I409" s="18" t="n"/>
      <c r="J409" s="18" t="n"/>
      <c r="K409" s="19" t="n"/>
      <c r="L409" s="20">
        <f>IF($B409="","",IFERROR(VLOOKUP($B409,'تنظیمات'!$A$4:$C$43,2,FALSE),1))</f>
        <v/>
      </c>
      <c r="M409" s="21">
        <f>IF($B409="","",IFERROR(VLOOKUP($B409,'تنظیمات'!$A$4:$C$43,3,FALSE),"USD"))</f>
        <v/>
      </c>
      <c r="N409" s="22">
        <f>IF(OR($E409="",$F409="",$H409="",$L409=""),"",ABS($E409-$F409)*$H409*IF($M409="BASE",$L409/$E409,$L409))</f>
        <v/>
      </c>
      <c r="O409" s="22">
        <f>IF($J409&lt;&gt;"",$J409,IF(OR($E409="",$G409="",$H409="",$L409=""),"",($G409-$E409)*IF($C409="فروش",-1,1)*$H409*IF($M409="BASE",$L409/$G409,$L409)))</f>
        <v/>
      </c>
      <c r="P409" s="22">
        <f>IF($O409="","",$O409-N($I409))</f>
        <v/>
      </c>
      <c r="Q409" s="23">
        <f>IF(OR($P409="",$N409="",$N409=0),"",$P409/$N409)</f>
        <v/>
      </c>
      <c r="R409" s="21">
        <f>IF($P409="","",IF($P409&gt;0,"برد",IF($P409&lt;0,"باخت","سر به سر")))</f>
        <v/>
      </c>
      <c r="S409" s="22">
        <f>IF($P409="","",SUM($P$5:$P409))</f>
        <v/>
      </c>
      <c r="T409" s="24">
        <f>IF($R409="باخت",N($T408)+1,0)</f>
        <v/>
      </c>
      <c r="U409" s="22">
        <f>IF($S409="","",$S409-MAX($S$5:$S409))</f>
        <v/>
      </c>
    </row>
    <row r="410">
      <c r="A410" s="14" t="n"/>
      <c r="B410" s="15" t="n"/>
      <c r="C410" s="15" t="n"/>
      <c r="D410" s="15" t="n"/>
      <c r="E410" s="16" t="n"/>
      <c r="F410" s="16" t="n"/>
      <c r="G410" s="16" t="n"/>
      <c r="H410" s="17" t="n"/>
      <c r="I410" s="18" t="n"/>
      <c r="J410" s="18" t="n"/>
      <c r="K410" s="19" t="n"/>
      <c r="L410" s="20">
        <f>IF($B410="","",IFERROR(VLOOKUP($B410,'تنظیمات'!$A$4:$C$43,2,FALSE),1))</f>
        <v/>
      </c>
      <c r="M410" s="21">
        <f>IF($B410="","",IFERROR(VLOOKUP($B410,'تنظیمات'!$A$4:$C$43,3,FALSE),"USD"))</f>
        <v/>
      </c>
      <c r="N410" s="22">
        <f>IF(OR($E410="",$F410="",$H410="",$L410=""),"",ABS($E410-$F410)*$H410*IF($M410="BASE",$L410/$E410,$L410))</f>
        <v/>
      </c>
      <c r="O410" s="22">
        <f>IF($J410&lt;&gt;"",$J410,IF(OR($E410="",$G410="",$H410="",$L410=""),"",($G410-$E410)*IF($C410="فروش",-1,1)*$H410*IF($M410="BASE",$L410/$G410,$L410)))</f>
        <v/>
      </c>
      <c r="P410" s="22">
        <f>IF($O410="","",$O410-N($I410))</f>
        <v/>
      </c>
      <c r="Q410" s="23">
        <f>IF(OR($P410="",$N410="",$N410=0),"",$P410/$N410)</f>
        <v/>
      </c>
      <c r="R410" s="21">
        <f>IF($P410="","",IF($P410&gt;0,"برد",IF($P410&lt;0,"باخت","سر به سر")))</f>
        <v/>
      </c>
      <c r="S410" s="22">
        <f>IF($P410="","",SUM($P$5:$P410))</f>
        <v/>
      </c>
      <c r="T410" s="24">
        <f>IF($R410="باخت",N($T409)+1,0)</f>
        <v/>
      </c>
      <c r="U410" s="22">
        <f>IF($S410="","",$S410-MAX($S$5:$S410))</f>
        <v/>
      </c>
    </row>
    <row r="411">
      <c r="A411" s="14" t="n"/>
      <c r="B411" s="15" t="n"/>
      <c r="C411" s="15" t="n"/>
      <c r="D411" s="15" t="n"/>
      <c r="E411" s="16" t="n"/>
      <c r="F411" s="16" t="n"/>
      <c r="G411" s="16" t="n"/>
      <c r="H411" s="17" t="n"/>
      <c r="I411" s="18" t="n"/>
      <c r="J411" s="18" t="n"/>
      <c r="K411" s="19" t="n"/>
      <c r="L411" s="20">
        <f>IF($B411="","",IFERROR(VLOOKUP($B411,'تنظیمات'!$A$4:$C$43,2,FALSE),1))</f>
        <v/>
      </c>
      <c r="M411" s="21">
        <f>IF($B411="","",IFERROR(VLOOKUP($B411,'تنظیمات'!$A$4:$C$43,3,FALSE),"USD"))</f>
        <v/>
      </c>
      <c r="N411" s="22">
        <f>IF(OR($E411="",$F411="",$H411="",$L411=""),"",ABS($E411-$F411)*$H411*IF($M411="BASE",$L411/$E411,$L411))</f>
        <v/>
      </c>
      <c r="O411" s="22">
        <f>IF($J411&lt;&gt;"",$J411,IF(OR($E411="",$G411="",$H411="",$L411=""),"",($G411-$E411)*IF($C411="فروش",-1,1)*$H411*IF($M411="BASE",$L411/$G411,$L411)))</f>
        <v/>
      </c>
      <c r="P411" s="22">
        <f>IF($O411="","",$O411-N($I411))</f>
        <v/>
      </c>
      <c r="Q411" s="23">
        <f>IF(OR($P411="",$N411="",$N411=0),"",$P411/$N411)</f>
        <v/>
      </c>
      <c r="R411" s="21">
        <f>IF($P411="","",IF($P411&gt;0,"برد",IF($P411&lt;0,"باخت","سر به سر")))</f>
        <v/>
      </c>
      <c r="S411" s="22">
        <f>IF($P411="","",SUM($P$5:$P411))</f>
        <v/>
      </c>
      <c r="T411" s="24">
        <f>IF($R411="باخت",N($T410)+1,0)</f>
        <v/>
      </c>
      <c r="U411" s="22">
        <f>IF($S411="","",$S411-MAX($S$5:$S411))</f>
        <v/>
      </c>
    </row>
    <row r="412">
      <c r="A412" s="14" t="n"/>
      <c r="B412" s="15" t="n"/>
      <c r="C412" s="15" t="n"/>
      <c r="D412" s="15" t="n"/>
      <c r="E412" s="16" t="n"/>
      <c r="F412" s="16" t="n"/>
      <c r="G412" s="16" t="n"/>
      <c r="H412" s="17" t="n"/>
      <c r="I412" s="18" t="n"/>
      <c r="J412" s="18" t="n"/>
      <c r="K412" s="19" t="n"/>
      <c r="L412" s="20">
        <f>IF($B412="","",IFERROR(VLOOKUP($B412,'تنظیمات'!$A$4:$C$43,2,FALSE),1))</f>
        <v/>
      </c>
      <c r="M412" s="21">
        <f>IF($B412="","",IFERROR(VLOOKUP($B412,'تنظیمات'!$A$4:$C$43,3,FALSE),"USD"))</f>
        <v/>
      </c>
      <c r="N412" s="22">
        <f>IF(OR($E412="",$F412="",$H412="",$L412=""),"",ABS($E412-$F412)*$H412*IF($M412="BASE",$L412/$E412,$L412))</f>
        <v/>
      </c>
      <c r="O412" s="22">
        <f>IF($J412&lt;&gt;"",$J412,IF(OR($E412="",$G412="",$H412="",$L412=""),"",($G412-$E412)*IF($C412="فروش",-1,1)*$H412*IF($M412="BASE",$L412/$G412,$L412)))</f>
        <v/>
      </c>
      <c r="P412" s="22">
        <f>IF($O412="","",$O412-N($I412))</f>
        <v/>
      </c>
      <c r="Q412" s="23">
        <f>IF(OR($P412="",$N412="",$N412=0),"",$P412/$N412)</f>
        <v/>
      </c>
      <c r="R412" s="21">
        <f>IF($P412="","",IF($P412&gt;0,"برد",IF($P412&lt;0,"باخت","سر به سر")))</f>
        <v/>
      </c>
      <c r="S412" s="22">
        <f>IF($P412="","",SUM($P$5:$P412))</f>
        <v/>
      </c>
      <c r="T412" s="24">
        <f>IF($R412="باخت",N($T411)+1,0)</f>
        <v/>
      </c>
      <c r="U412" s="22">
        <f>IF($S412="","",$S412-MAX($S$5:$S412))</f>
        <v/>
      </c>
    </row>
    <row r="413">
      <c r="A413" s="14" t="n"/>
      <c r="B413" s="15" t="n"/>
      <c r="C413" s="15" t="n"/>
      <c r="D413" s="15" t="n"/>
      <c r="E413" s="16" t="n"/>
      <c r="F413" s="16" t="n"/>
      <c r="G413" s="16" t="n"/>
      <c r="H413" s="17" t="n"/>
      <c r="I413" s="18" t="n"/>
      <c r="J413" s="18" t="n"/>
      <c r="K413" s="19" t="n"/>
      <c r="L413" s="20">
        <f>IF($B413="","",IFERROR(VLOOKUP($B413,'تنظیمات'!$A$4:$C$43,2,FALSE),1))</f>
        <v/>
      </c>
      <c r="M413" s="21">
        <f>IF($B413="","",IFERROR(VLOOKUP($B413,'تنظیمات'!$A$4:$C$43,3,FALSE),"USD"))</f>
        <v/>
      </c>
      <c r="N413" s="22">
        <f>IF(OR($E413="",$F413="",$H413="",$L413=""),"",ABS($E413-$F413)*$H413*IF($M413="BASE",$L413/$E413,$L413))</f>
        <v/>
      </c>
      <c r="O413" s="22">
        <f>IF($J413&lt;&gt;"",$J413,IF(OR($E413="",$G413="",$H413="",$L413=""),"",($G413-$E413)*IF($C413="فروش",-1,1)*$H413*IF($M413="BASE",$L413/$G413,$L413)))</f>
        <v/>
      </c>
      <c r="P413" s="22">
        <f>IF($O413="","",$O413-N($I413))</f>
        <v/>
      </c>
      <c r="Q413" s="23">
        <f>IF(OR($P413="",$N413="",$N413=0),"",$P413/$N413)</f>
        <v/>
      </c>
      <c r="R413" s="21">
        <f>IF($P413="","",IF($P413&gt;0,"برد",IF($P413&lt;0,"باخت","سر به سر")))</f>
        <v/>
      </c>
      <c r="S413" s="22">
        <f>IF($P413="","",SUM($P$5:$P413))</f>
        <v/>
      </c>
      <c r="T413" s="24">
        <f>IF($R413="باخت",N($T412)+1,0)</f>
        <v/>
      </c>
      <c r="U413" s="22">
        <f>IF($S413="","",$S413-MAX($S$5:$S413))</f>
        <v/>
      </c>
    </row>
    <row r="414">
      <c r="A414" s="14" t="n"/>
      <c r="B414" s="15" t="n"/>
      <c r="C414" s="15" t="n"/>
      <c r="D414" s="15" t="n"/>
      <c r="E414" s="16" t="n"/>
      <c r="F414" s="16" t="n"/>
      <c r="G414" s="16" t="n"/>
      <c r="H414" s="17" t="n"/>
      <c r="I414" s="18" t="n"/>
      <c r="J414" s="18" t="n"/>
      <c r="K414" s="19" t="n"/>
      <c r="L414" s="20">
        <f>IF($B414="","",IFERROR(VLOOKUP($B414,'تنظیمات'!$A$4:$C$43,2,FALSE),1))</f>
        <v/>
      </c>
      <c r="M414" s="21">
        <f>IF($B414="","",IFERROR(VLOOKUP($B414,'تنظیمات'!$A$4:$C$43,3,FALSE),"USD"))</f>
        <v/>
      </c>
      <c r="N414" s="22">
        <f>IF(OR($E414="",$F414="",$H414="",$L414=""),"",ABS($E414-$F414)*$H414*IF($M414="BASE",$L414/$E414,$L414))</f>
        <v/>
      </c>
      <c r="O414" s="22">
        <f>IF($J414&lt;&gt;"",$J414,IF(OR($E414="",$G414="",$H414="",$L414=""),"",($G414-$E414)*IF($C414="فروش",-1,1)*$H414*IF($M414="BASE",$L414/$G414,$L414)))</f>
        <v/>
      </c>
      <c r="P414" s="22">
        <f>IF($O414="","",$O414-N($I414))</f>
        <v/>
      </c>
      <c r="Q414" s="23">
        <f>IF(OR($P414="",$N414="",$N414=0),"",$P414/$N414)</f>
        <v/>
      </c>
      <c r="R414" s="21">
        <f>IF($P414="","",IF($P414&gt;0,"برد",IF($P414&lt;0,"باخت","سر به سر")))</f>
        <v/>
      </c>
      <c r="S414" s="22">
        <f>IF($P414="","",SUM($P$5:$P414))</f>
        <v/>
      </c>
      <c r="T414" s="24">
        <f>IF($R414="باخت",N($T413)+1,0)</f>
        <v/>
      </c>
      <c r="U414" s="22">
        <f>IF($S414="","",$S414-MAX($S$5:$S414))</f>
        <v/>
      </c>
    </row>
    <row r="415">
      <c r="A415" s="14" t="n"/>
      <c r="B415" s="15" t="n"/>
      <c r="C415" s="15" t="n"/>
      <c r="D415" s="15" t="n"/>
      <c r="E415" s="16" t="n"/>
      <c r="F415" s="16" t="n"/>
      <c r="G415" s="16" t="n"/>
      <c r="H415" s="17" t="n"/>
      <c r="I415" s="18" t="n"/>
      <c r="J415" s="18" t="n"/>
      <c r="K415" s="19" t="n"/>
      <c r="L415" s="20">
        <f>IF($B415="","",IFERROR(VLOOKUP($B415,'تنظیمات'!$A$4:$C$43,2,FALSE),1))</f>
        <v/>
      </c>
      <c r="M415" s="21">
        <f>IF($B415="","",IFERROR(VLOOKUP($B415,'تنظیمات'!$A$4:$C$43,3,FALSE),"USD"))</f>
        <v/>
      </c>
      <c r="N415" s="22">
        <f>IF(OR($E415="",$F415="",$H415="",$L415=""),"",ABS($E415-$F415)*$H415*IF($M415="BASE",$L415/$E415,$L415))</f>
        <v/>
      </c>
      <c r="O415" s="22">
        <f>IF($J415&lt;&gt;"",$J415,IF(OR($E415="",$G415="",$H415="",$L415=""),"",($G415-$E415)*IF($C415="فروش",-1,1)*$H415*IF($M415="BASE",$L415/$G415,$L415)))</f>
        <v/>
      </c>
      <c r="P415" s="22">
        <f>IF($O415="","",$O415-N($I415))</f>
        <v/>
      </c>
      <c r="Q415" s="23">
        <f>IF(OR($P415="",$N415="",$N415=0),"",$P415/$N415)</f>
        <v/>
      </c>
      <c r="R415" s="21">
        <f>IF($P415="","",IF($P415&gt;0,"برد",IF($P415&lt;0,"باخت","سر به سر")))</f>
        <v/>
      </c>
      <c r="S415" s="22">
        <f>IF($P415="","",SUM($P$5:$P415))</f>
        <v/>
      </c>
      <c r="T415" s="24">
        <f>IF($R415="باخت",N($T414)+1,0)</f>
        <v/>
      </c>
      <c r="U415" s="22">
        <f>IF($S415="","",$S415-MAX($S$5:$S415))</f>
        <v/>
      </c>
    </row>
    <row r="416">
      <c r="A416" s="14" t="n"/>
      <c r="B416" s="15" t="n"/>
      <c r="C416" s="15" t="n"/>
      <c r="D416" s="15" t="n"/>
      <c r="E416" s="16" t="n"/>
      <c r="F416" s="16" t="n"/>
      <c r="G416" s="16" t="n"/>
      <c r="H416" s="17" t="n"/>
      <c r="I416" s="18" t="n"/>
      <c r="J416" s="18" t="n"/>
      <c r="K416" s="19" t="n"/>
      <c r="L416" s="20">
        <f>IF($B416="","",IFERROR(VLOOKUP($B416,'تنظیمات'!$A$4:$C$43,2,FALSE),1))</f>
        <v/>
      </c>
      <c r="M416" s="21">
        <f>IF($B416="","",IFERROR(VLOOKUP($B416,'تنظیمات'!$A$4:$C$43,3,FALSE),"USD"))</f>
        <v/>
      </c>
      <c r="N416" s="22">
        <f>IF(OR($E416="",$F416="",$H416="",$L416=""),"",ABS($E416-$F416)*$H416*IF($M416="BASE",$L416/$E416,$L416))</f>
        <v/>
      </c>
      <c r="O416" s="22">
        <f>IF($J416&lt;&gt;"",$J416,IF(OR($E416="",$G416="",$H416="",$L416=""),"",($G416-$E416)*IF($C416="فروش",-1,1)*$H416*IF($M416="BASE",$L416/$G416,$L416)))</f>
        <v/>
      </c>
      <c r="P416" s="22">
        <f>IF($O416="","",$O416-N($I416))</f>
        <v/>
      </c>
      <c r="Q416" s="23">
        <f>IF(OR($P416="",$N416="",$N416=0),"",$P416/$N416)</f>
        <v/>
      </c>
      <c r="R416" s="21">
        <f>IF($P416="","",IF($P416&gt;0,"برد",IF($P416&lt;0,"باخت","سر به سر")))</f>
        <v/>
      </c>
      <c r="S416" s="22">
        <f>IF($P416="","",SUM($P$5:$P416))</f>
        <v/>
      </c>
      <c r="T416" s="24">
        <f>IF($R416="باخت",N($T415)+1,0)</f>
        <v/>
      </c>
      <c r="U416" s="22">
        <f>IF($S416="","",$S416-MAX($S$5:$S416))</f>
        <v/>
      </c>
    </row>
    <row r="417">
      <c r="A417" s="14" t="n"/>
      <c r="B417" s="15" t="n"/>
      <c r="C417" s="15" t="n"/>
      <c r="D417" s="15" t="n"/>
      <c r="E417" s="16" t="n"/>
      <c r="F417" s="16" t="n"/>
      <c r="G417" s="16" t="n"/>
      <c r="H417" s="17" t="n"/>
      <c r="I417" s="18" t="n"/>
      <c r="J417" s="18" t="n"/>
      <c r="K417" s="19" t="n"/>
      <c r="L417" s="20">
        <f>IF($B417="","",IFERROR(VLOOKUP($B417,'تنظیمات'!$A$4:$C$43,2,FALSE),1))</f>
        <v/>
      </c>
      <c r="M417" s="21">
        <f>IF($B417="","",IFERROR(VLOOKUP($B417,'تنظیمات'!$A$4:$C$43,3,FALSE),"USD"))</f>
        <v/>
      </c>
      <c r="N417" s="22">
        <f>IF(OR($E417="",$F417="",$H417="",$L417=""),"",ABS($E417-$F417)*$H417*IF($M417="BASE",$L417/$E417,$L417))</f>
        <v/>
      </c>
      <c r="O417" s="22">
        <f>IF($J417&lt;&gt;"",$J417,IF(OR($E417="",$G417="",$H417="",$L417=""),"",($G417-$E417)*IF($C417="فروش",-1,1)*$H417*IF($M417="BASE",$L417/$G417,$L417)))</f>
        <v/>
      </c>
      <c r="P417" s="22">
        <f>IF($O417="","",$O417-N($I417))</f>
        <v/>
      </c>
      <c r="Q417" s="23">
        <f>IF(OR($P417="",$N417="",$N417=0),"",$P417/$N417)</f>
        <v/>
      </c>
      <c r="R417" s="21">
        <f>IF($P417="","",IF($P417&gt;0,"برد",IF($P417&lt;0,"باخت","سر به سر")))</f>
        <v/>
      </c>
      <c r="S417" s="22">
        <f>IF($P417="","",SUM($P$5:$P417))</f>
        <v/>
      </c>
      <c r="T417" s="24">
        <f>IF($R417="باخت",N($T416)+1,0)</f>
        <v/>
      </c>
      <c r="U417" s="22">
        <f>IF($S417="","",$S417-MAX($S$5:$S417))</f>
        <v/>
      </c>
    </row>
    <row r="418">
      <c r="A418" s="14" t="n"/>
      <c r="B418" s="15" t="n"/>
      <c r="C418" s="15" t="n"/>
      <c r="D418" s="15" t="n"/>
      <c r="E418" s="16" t="n"/>
      <c r="F418" s="16" t="n"/>
      <c r="G418" s="16" t="n"/>
      <c r="H418" s="17" t="n"/>
      <c r="I418" s="18" t="n"/>
      <c r="J418" s="18" t="n"/>
      <c r="K418" s="19" t="n"/>
      <c r="L418" s="20">
        <f>IF($B418="","",IFERROR(VLOOKUP($B418,'تنظیمات'!$A$4:$C$43,2,FALSE),1))</f>
        <v/>
      </c>
      <c r="M418" s="21">
        <f>IF($B418="","",IFERROR(VLOOKUP($B418,'تنظیمات'!$A$4:$C$43,3,FALSE),"USD"))</f>
        <v/>
      </c>
      <c r="N418" s="22">
        <f>IF(OR($E418="",$F418="",$H418="",$L418=""),"",ABS($E418-$F418)*$H418*IF($M418="BASE",$L418/$E418,$L418))</f>
        <v/>
      </c>
      <c r="O418" s="22">
        <f>IF($J418&lt;&gt;"",$J418,IF(OR($E418="",$G418="",$H418="",$L418=""),"",($G418-$E418)*IF($C418="فروش",-1,1)*$H418*IF($M418="BASE",$L418/$G418,$L418)))</f>
        <v/>
      </c>
      <c r="P418" s="22">
        <f>IF($O418="","",$O418-N($I418))</f>
        <v/>
      </c>
      <c r="Q418" s="23">
        <f>IF(OR($P418="",$N418="",$N418=0),"",$P418/$N418)</f>
        <v/>
      </c>
      <c r="R418" s="21">
        <f>IF($P418="","",IF($P418&gt;0,"برد",IF($P418&lt;0,"باخت","سر به سر")))</f>
        <v/>
      </c>
      <c r="S418" s="22">
        <f>IF($P418="","",SUM($P$5:$P418))</f>
        <v/>
      </c>
      <c r="T418" s="24">
        <f>IF($R418="باخت",N($T417)+1,0)</f>
        <v/>
      </c>
      <c r="U418" s="22">
        <f>IF($S418="","",$S418-MAX($S$5:$S418))</f>
        <v/>
      </c>
    </row>
    <row r="419">
      <c r="A419" s="14" t="n"/>
      <c r="B419" s="15" t="n"/>
      <c r="C419" s="15" t="n"/>
      <c r="D419" s="15" t="n"/>
      <c r="E419" s="16" t="n"/>
      <c r="F419" s="16" t="n"/>
      <c r="G419" s="16" t="n"/>
      <c r="H419" s="17" t="n"/>
      <c r="I419" s="18" t="n"/>
      <c r="J419" s="18" t="n"/>
      <c r="K419" s="19" t="n"/>
      <c r="L419" s="20">
        <f>IF($B419="","",IFERROR(VLOOKUP($B419,'تنظیمات'!$A$4:$C$43,2,FALSE),1))</f>
        <v/>
      </c>
      <c r="M419" s="21">
        <f>IF($B419="","",IFERROR(VLOOKUP($B419,'تنظیمات'!$A$4:$C$43,3,FALSE),"USD"))</f>
        <v/>
      </c>
      <c r="N419" s="22">
        <f>IF(OR($E419="",$F419="",$H419="",$L419=""),"",ABS($E419-$F419)*$H419*IF($M419="BASE",$L419/$E419,$L419))</f>
        <v/>
      </c>
      <c r="O419" s="22">
        <f>IF($J419&lt;&gt;"",$J419,IF(OR($E419="",$G419="",$H419="",$L419=""),"",($G419-$E419)*IF($C419="فروش",-1,1)*$H419*IF($M419="BASE",$L419/$G419,$L419)))</f>
        <v/>
      </c>
      <c r="P419" s="22">
        <f>IF($O419="","",$O419-N($I419))</f>
        <v/>
      </c>
      <c r="Q419" s="23">
        <f>IF(OR($P419="",$N419="",$N419=0),"",$P419/$N419)</f>
        <v/>
      </c>
      <c r="R419" s="21">
        <f>IF($P419="","",IF($P419&gt;0,"برد",IF($P419&lt;0,"باخت","سر به سر")))</f>
        <v/>
      </c>
      <c r="S419" s="22">
        <f>IF($P419="","",SUM($P$5:$P419))</f>
        <v/>
      </c>
      <c r="T419" s="24">
        <f>IF($R419="باخت",N($T418)+1,0)</f>
        <v/>
      </c>
      <c r="U419" s="22">
        <f>IF($S419="","",$S419-MAX($S$5:$S419))</f>
        <v/>
      </c>
    </row>
    <row r="420">
      <c r="A420" s="14" t="n"/>
      <c r="B420" s="15" t="n"/>
      <c r="C420" s="15" t="n"/>
      <c r="D420" s="15" t="n"/>
      <c r="E420" s="16" t="n"/>
      <c r="F420" s="16" t="n"/>
      <c r="G420" s="16" t="n"/>
      <c r="H420" s="17" t="n"/>
      <c r="I420" s="18" t="n"/>
      <c r="J420" s="18" t="n"/>
      <c r="K420" s="19" t="n"/>
      <c r="L420" s="20">
        <f>IF($B420="","",IFERROR(VLOOKUP($B420,'تنظیمات'!$A$4:$C$43,2,FALSE),1))</f>
        <v/>
      </c>
      <c r="M420" s="21">
        <f>IF($B420="","",IFERROR(VLOOKUP($B420,'تنظیمات'!$A$4:$C$43,3,FALSE),"USD"))</f>
        <v/>
      </c>
      <c r="N420" s="22">
        <f>IF(OR($E420="",$F420="",$H420="",$L420=""),"",ABS($E420-$F420)*$H420*IF($M420="BASE",$L420/$E420,$L420))</f>
        <v/>
      </c>
      <c r="O420" s="22">
        <f>IF($J420&lt;&gt;"",$J420,IF(OR($E420="",$G420="",$H420="",$L420=""),"",($G420-$E420)*IF($C420="فروش",-1,1)*$H420*IF($M420="BASE",$L420/$G420,$L420)))</f>
        <v/>
      </c>
      <c r="P420" s="22">
        <f>IF($O420="","",$O420-N($I420))</f>
        <v/>
      </c>
      <c r="Q420" s="23">
        <f>IF(OR($P420="",$N420="",$N420=0),"",$P420/$N420)</f>
        <v/>
      </c>
      <c r="R420" s="21">
        <f>IF($P420="","",IF($P420&gt;0,"برد",IF($P420&lt;0,"باخت","سر به سر")))</f>
        <v/>
      </c>
      <c r="S420" s="22">
        <f>IF($P420="","",SUM($P$5:$P420))</f>
        <v/>
      </c>
      <c r="T420" s="24">
        <f>IF($R420="باخت",N($T419)+1,0)</f>
        <v/>
      </c>
      <c r="U420" s="22">
        <f>IF($S420="","",$S420-MAX($S$5:$S420))</f>
        <v/>
      </c>
    </row>
    <row r="421">
      <c r="A421" s="14" t="n"/>
      <c r="B421" s="15" t="n"/>
      <c r="C421" s="15" t="n"/>
      <c r="D421" s="15" t="n"/>
      <c r="E421" s="16" t="n"/>
      <c r="F421" s="16" t="n"/>
      <c r="G421" s="16" t="n"/>
      <c r="H421" s="17" t="n"/>
      <c r="I421" s="18" t="n"/>
      <c r="J421" s="18" t="n"/>
      <c r="K421" s="19" t="n"/>
      <c r="L421" s="20">
        <f>IF($B421="","",IFERROR(VLOOKUP($B421,'تنظیمات'!$A$4:$C$43,2,FALSE),1))</f>
        <v/>
      </c>
      <c r="M421" s="21">
        <f>IF($B421="","",IFERROR(VLOOKUP($B421,'تنظیمات'!$A$4:$C$43,3,FALSE),"USD"))</f>
        <v/>
      </c>
      <c r="N421" s="22">
        <f>IF(OR($E421="",$F421="",$H421="",$L421=""),"",ABS($E421-$F421)*$H421*IF($M421="BASE",$L421/$E421,$L421))</f>
        <v/>
      </c>
      <c r="O421" s="22">
        <f>IF($J421&lt;&gt;"",$J421,IF(OR($E421="",$G421="",$H421="",$L421=""),"",($G421-$E421)*IF($C421="فروش",-1,1)*$H421*IF($M421="BASE",$L421/$G421,$L421)))</f>
        <v/>
      </c>
      <c r="P421" s="22">
        <f>IF($O421="","",$O421-N($I421))</f>
        <v/>
      </c>
      <c r="Q421" s="23">
        <f>IF(OR($P421="",$N421="",$N421=0),"",$P421/$N421)</f>
        <v/>
      </c>
      <c r="R421" s="21">
        <f>IF($P421="","",IF($P421&gt;0,"برد",IF($P421&lt;0,"باخت","سر به سر")))</f>
        <v/>
      </c>
      <c r="S421" s="22">
        <f>IF($P421="","",SUM($P$5:$P421))</f>
        <v/>
      </c>
      <c r="T421" s="24">
        <f>IF($R421="باخت",N($T420)+1,0)</f>
        <v/>
      </c>
      <c r="U421" s="22">
        <f>IF($S421="","",$S421-MAX($S$5:$S421))</f>
        <v/>
      </c>
    </row>
    <row r="422">
      <c r="A422" s="14" t="n"/>
      <c r="B422" s="15" t="n"/>
      <c r="C422" s="15" t="n"/>
      <c r="D422" s="15" t="n"/>
      <c r="E422" s="16" t="n"/>
      <c r="F422" s="16" t="n"/>
      <c r="G422" s="16" t="n"/>
      <c r="H422" s="17" t="n"/>
      <c r="I422" s="18" t="n"/>
      <c r="J422" s="18" t="n"/>
      <c r="K422" s="19" t="n"/>
      <c r="L422" s="20">
        <f>IF($B422="","",IFERROR(VLOOKUP($B422,'تنظیمات'!$A$4:$C$43,2,FALSE),1))</f>
        <v/>
      </c>
      <c r="M422" s="21">
        <f>IF($B422="","",IFERROR(VLOOKUP($B422,'تنظیمات'!$A$4:$C$43,3,FALSE),"USD"))</f>
        <v/>
      </c>
      <c r="N422" s="22">
        <f>IF(OR($E422="",$F422="",$H422="",$L422=""),"",ABS($E422-$F422)*$H422*IF($M422="BASE",$L422/$E422,$L422))</f>
        <v/>
      </c>
      <c r="O422" s="22">
        <f>IF($J422&lt;&gt;"",$J422,IF(OR($E422="",$G422="",$H422="",$L422=""),"",($G422-$E422)*IF($C422="فروش",-1,1)*$H422*IF($M422="BASE",$L422/$G422,$L422)))</f>
        <v/>
      </c>
      <c r="P422" s="22">
        <f>IF($O422="","",$O422-N($I422))</f>
        <v/>
      </c>
      <c r="Q422" s="23">
        <f>IF(OR($P422="",$N422="",$N422=0),"",$P422/$N422)</f>
        <v/>
      </c>
      <c r="R422" s="21">
        <f>IF($P422="","",IF($P422&gt;0,"برد",IF($P422&lt;0,"باخت","سر به سر")))</f>
        <v/>
      </c>
      <c r="S422" s="22">
        <f>IF($P422="","",SUM($P$5:$P422))</f>
        <v/>
      </c>
      <c r="T422" s="24">
        <f>IF($R422="باخت",N($T421)+1,0)</f>
        <v/>
      </c>
      <c r="U422" s="22">
        <f>IF($S422="","",$S422-MAX($S$5:$S422))</f>
        <v/>
      </c>
    </row>
    <row r="423">
      <c r="A423" s="14" t="n"/>
      <c r="B423" s="15" t="n"/>
      <c r="C423" s="15" t="n"/>
      <c r="D423" s="15" t="n"/>
      <c r="E423" s="16" t="n"/>
      <c r="F423" s="16" t="n"/>
      <c r="G423" s="16" t="n"/>
      <c r="H423" s="17" t="n"/>
      <c r="I423" s="18" t="n"/>
      <c r="J423" s="18" t="n"/>
      <c r="K423" s="19" t="n"/>
      <c r="L423" s="20">
        <f>IF($B423="","",IFERROR(VLOOKUP($B423,'تنظیمات'!$A$4:$C$43,2,FALSE),1))</f>
        <v/>
      </c>
      <c r="M423" s="21">
        <f>IF($B423="","",IFERROR(VLOOKUP($B423,'تنظیمات'!$A$4:$C$43,3,FALSE),"USD"))</f>
        <v/>
      </c>
      <c r="N423" s="22">
        <f>IF(OR($E423="",$F423="",$H423="",$L423=""),"",ABS($E423-$F423)*$H423*IF($M423="BASE",$L423/$E423,$L423))</f>
        <v/>
      </c>
      <c r="O423" s="22">
        <f>IF($J423&lt;&gt;"",$J423,IF(OR($E423="",$G423="",$H423="",$L423=""),"",($G423-$E423)*IF($C423="فروش",-1,1)*$H423*IF($M423="BASE",$L423/$G423,$L423)))</f>
        <v/>
      </c>
      <c r="P423" s="22">
        <f>IF($O423="","",$O423-N($I423))</f>
        <v/>
      </c>
      <c r="Q423" s="23">
        <f>IF(OR($P423="",$N423="",$N423=0),"",$P423/$N423)</f>
        <v/>
      </c>
      <c r="R423" s="21">
        <f>IF($P423="","",IF($P423&gt;0,"برد",IF($P423&lt;0,"باخت","سر به سر")))</f>
        <v/>
      </c>
      <c r="S423" s="22">
        <f>IF($P423="","",SUM($P$5:$P423))</f>
        <v/>
      </c>
      <c r="T423" s="24">
        <f>IF($R423="باخت",N($T422)+1,0)</f>
        <v/>
      </c>
      <c r="U423" s="22">
        <f>IF($S423="","",$S423-MAX($S$5:$S423))</f>
        <v/>
      </c>
    </row>
    <row r="424">
      <c r="A424" s="14" t="n"/>
      <c r="B424" s="15" t="n"/>
      <c r="C424" s="15" t="n"/>
      <c r="D424" s="15" t="n"/>
      <c r="E424" s="16" t="n"/>
      <c r="F424" s="16" t="n"/>
      <c r="G424" s="16" t="n"/>
      <c r="H424" s="17" t="n"/>
      <c r="I424" s="18" t="n"/>
      <c r="J424" s="18" t="n"/>
      <c r="K424" s="19" t="n"/>
      <c r="L424" s="20">
        <f>IF($B424="","",IFERROR(VLOOKUP($B424,'تنظیمات'!$A$4:$C$43,2,FALSE),1))</f>
        <v/>
      </c>
      <c r="M424" s="21">
        <f>IF($B424="","",IFERROR(VLOOKUP($B424,'تنظیمات'!$A$4:$C$43,3,FALSE),"USD"))</f>
        <v/>
      </c>
      <c r="N424" s="22">
        <f>IF(OR($E424="",$F424="",$H424="",$L424=""),"",ABS($E424-$F424)*$H424*IF($M424="BASE",$L424/$E424,$L424))</f>
        <v/>
      </c>
      <c r="O424" s="22">
        <f>IF($J424&lt;&gt;"",$J424,IF(OR($E424="",$G424="",$H424="",$L424=""),"",($G424-$E424)*IF($C424="فروش",-1,1)*$H424*IF($M424="BASE",$L424/$G424,$L424)))</f>
        <v/>
      </c>
      <c r="P424" s="22">
        <f>IF($O424="","",$O424-N($I424))</f>
        <v/>
      </c>
      <c r="Q424" s="23">
        <f>IF(OR($P424="",$N424="",$N424=0),"",$P424/$N424)</f>
        <v/>
      </c>
      <c r="R424" s="21">
        <f>IF($P424="","",IF($P424&gt;0,"برد",IF($P424&lt;0,"باخت","سر به سر")))</f>
        <v/>
      </c>
      <c r="S424" s="22">
        <f>IF($P424="","",SUM($P$5:$P424))</f>
        <v/>
      </c>
      <c r="T424" s="24">
        <f>IF($R424="باخت",N($T423)+1,0)</f>
        <v/>
      </c>
      <c r="U424" s="22">
        <f>IF($S424="","",$S424-MAX($S$5:$S424))</f>
        <v/>
      </c>
    </row>
    <row r="425">
      <c r="A425" s="14" t="n"/>
      <c r="B425" s="15" t="n"/>
      <c r="C425" s="15" t="n"/>
      <c r="D425" s="15" t="n"/>
      <c r="E425" s="16" t="n"/>
      <c r="F425" s="16" t="n"/>
      <c r="G425" s="16" t="n"/>
      <c r="H425" s="17" t="n"/>
      <c r="I425" s="18" t="n"/>
      <c r="J425" s="18" t="n"/>
      <c r="K425" s="19" t="n"/>
      <c r="L425" s="20">
        <f>IF($B425="","",IFERROR(VLOOKUP($B425,'تنظیمات'!$A$4:$C$43,2,FALSE),1))</f>
        <v/>
      </c>
      <c r="M425" s="21">
        <f>IF($B425="","",IFERROR(VLOOKUP($B425,'تنظیمات'!$A$4:$C$43,3,FALSE),"USD"))</f>
        <v/>
      </c>
      <c r="N425" s="22">
        <f>IF(OR($E425="",$F425="",$H425="",$L425=""),"",ABS($E425-$F425)*$H425*IF($M425="BASE",$L425/$E425,$L425))</f>
        <v/>
      </c>
      <c r="O425" s="22">
        <f>IF($J425&lt;&gt;"",$J425,IF(OR($E425="",$G425="",$H425="",$L425=""),"",($G425-$E425)*IF($C425="فروش",-1,1)*$H425*IF($M425="BASE",$L425/$G425,$L425)))</f>
        <v/>
      </c>
      <c r="P425" s="22">
        <f>IF($O425="","",$O425-N($I425))</f>
        <v/>
      </c>
      <c r="Q425" s="23">
        <f>IF(OR($P425="",$N425="",$N425=0),"",$P425/$N425)</f>
        <v/>
      </c>
      <c r="R425" s="21">
        <f>IF($P425="","",IF($P425&gt;0,"برد",IF($P425&lt;0,"باخت","سر به سر")))</f>
        <v/>
      </c>
      <c r="S425" s="22">
        <f>IF($P425="","",SUM($P$5:$P425))</f>
        <v/>
      </c>
      <c r="T425" s="24">
        <f>IF($R425="باخت",N($T424)+1,0)</f>
        <v/>
      </c>
      <c r="U425" s="22">
        <f>IF($S425="","",$S425-MAX($S$5:$S425))</f>
        <v/>
      </c>
    </row>
    <row r="426">
      <c r="A426" s="14" t="n"/>
      <c r="B426" s="15" t="n"/>
      <c r="C426" s="15" t="n"/>
      <c r="D426" s="15" t="n"/>
      <c r="E426" s="16" t="n"/>
      <c r="F426" s="16" t="n"/>
      <c r="G426" s="16" t="n"/>
      <c r="H426" s="17" t="n"/>
      <c r="I426" s="18" t="n"/>
      <c r="J426" s="18" t="n"/>
      <c r="K426" s="19" t="n"/>
      <c r="L426" s="20">
        <f>IF($B426="","",IFERROR(VLOOKUP($B426,'تنظیمات'!$A$4:$C$43,2,FALSE),1))</f>
        <v/>
      </c>
      <c r="M426" s="21">
        <f>IF($B426="","",IFERROR(VLOOKUP($B426,'تنظیمات'!$A$4:$C$43,3,FALSE),"USD"))</f>
        <v/>
      </c>
      <c r="N426" s="22">
        <f>IF(OR($E426="",$F426="",$H426="",$L426=""),"",ABS($E426-$F426)*$H426*IF($M426="BASE",$L426/$E426,$L426))</f>
        <v/>
      </c>
      <c r="O426" s="22">
        <f>IF($J426&lt;&gt;"",$J426,IF(OR($E426="",$G426="",$H426="",$L426=""),"",($G426-$E426)*IF($C426="فروش",-1,1)*$H426*IF($M426="BASE",$L426/$G426,$L426)))</f>
        <v/>
      </c>
      <c r="P426" s="22">
        <f>IF($O426="","",$O426-N($I426))</f>
        <v/>
      </c>
      <c r="Q426" s="23">
        <f>IF(OR($P426="",$N426="",$N426=0),"",$P426/$N426)</f>
        <v/>
      </c>
      <c r="R426" s="21">
        <f>IF($P426="","",IF($P426&gt;0,"برد",IF($P426&lt;0,"باخت","سر به سر")))</f>
        <v/>
      </c>
      <c r="S426" s="22">
        <f>IF($P426="","",SUM($P$5:$P426))</f>
        <v/>
      </c>
      <c r="T426" s="24">
        <f>IF($R426="باخت",N($T425)+1,0)</f>
        <v/>
      </c>
      <c r="U426" s="22">
        <f>IF($S426="","",$S426-MAX($S$5:$S426))</f>
        <v/>
      </c>
    </row>
    <row r="427">
      <c r="A427" s="14" t="n"/>
      <c r="B427" s="15" t="n"/>
      <c r="C427" s="15" t="n"/>
      <c r="D427" s="15" t="n"/>
      <c r="E427" s="16" t="n"/>
      <c r="F427" s="16" t="n"/>
      <c r="G427" s="16" t="n"/>
      <c r="H427" s="17" t="n"/>
      <c r="I427" s="18" t="n"/>
      <c r="J427" s="18" t="n"/>
      <c r="K427" s="19" t="n"/>
      <c r="L427" s="20">
        <f>IF($B427="","",IFERROR(VLOOKUP($B427,'تنظیمات'!$A$4:$C$43,2,FALSE),1))</f>
        <v/>
      </c>
      <c r="M427" s="21">
        <f>IF($B427="","",IFERROR(VLOOKUP($B427,'تنظیمات'!$A$4:$C$43,3,FALSE),"USD"))</f>
        <v/>
      </c>
      <c r="N427" s="22">
        <f>IF(OR($E427="",$F427="",$H427="",$L427=""),"",ABS($E427-$F427)*$H427*IF($M427="BASE",$L427/$E427,$L427))</f>
        <v/>
      </c>
      <c r="O427" s="22">
        <f>IF($J427&lt;&gt;"",$J427,IF(OR($E427="",$G427="",$H427="",$L427=""),"",($G427-$E427)*IF($C427="فروش",-1,1)*$H427*IF($M427="BASE",$L427/$G427,$L427)))</f>
        <v/>
      </c>
      <c r="P427" s="22">
        <f>IF($O427="","",$O427-N($I427))</f>
        <v/>
      </c>
      <c r="Q427" s="23">
        <f>IF(OR($P427="",$N427="",$N427=0),"",$P427/$N427)</f>
        <v/>
      </c>
      <c r="R427" s="21">
        <f>IF($P427="","",IF($P427&gt;0,"برد",IF($P427&lt;0,"باخت","سر به سر")))</f>
        <v/>
      </c>
      <c r="S427" s="22">
        <f>IF($P427="","",SUM($P$5:$P427))</f>
        <v/>
      </c>
      <c r="T427" s="24">
        <f>IF($R427="باخت",N($T426)+1,0)</f>
        <v/>
      </c>
      <c r="U427" s="22">
        <f>IF($S427="","",$S427-MAX($S$5:$S427))</f>
        <v/>
      </c>
    </row>
    <row r="428">
      <c r="A428" s="14" t="n"/>
      <c r="B428" s="15" t="n"/>
      <c r="C428" s="15" t="n"/>
      <c r="D428" s="15" t="n"/>
      <c r="E428" s="16" t="n"/>
      <c r="F428" s="16" t="n"/>
      <c r="G428" s="16" t="n"/>
      <c r="H428" s="17" t="n"/>
      <c r="I428" s="18" t="n"/>
      <c r="J428" s="18" t="n"/>
      <c r="K428" s="19" t="n"/>
      <c r="L428" s="20">
        <f>IF($B428="","",IFERROR(VLOOKUP($B428,'تنظیمات'!$A$4:$C$43,2,FALSE),1))</f>
        <v/>
      </c>
      <c r="M428" s="21">
        <f>IF($B428="","",IFERROR(VLOOKUP($B428,'تنظیمات'!$A$4:$C$43,3,FALSE),"USD"))</f>
        <v/>
      </c>
      <c r="N428" s="22">
        <f>IF(OR($E428="",$F428="",$H428="",$L428=""),"",ABS($E428-$F428)*$H428*IF($M428="BASE",$L428/$E428,$L428))</f>
        <v/>
      </c>
      <c r="O428" s="22">
        <f>IF($J428&lt;&gt;"",$J428,IF(OR($E428="",$G428="",$H428="",$L428=""),"",($G428-$E428)*IF($C428="فروش",-1,1)*$H428*IF($M428="BASE",$L428/$G428,$L428)))</f>
        <v/>
      </c>
      <c r="P428" s="22">
        <f>IF($O428="","",$O428-N($I428))</f>
        <v/>
      </c>
      <c r="Q428" s="23">
        <f>IF(OR($P428="",$N428="",$N428=0),"",$P428/$N428)</f>
        <v/>
      </c>
      <c r="R428" s="21">
        <f>IF($P428="","",IF($P428&gt;0,"برد",IF($P428&lt;0,"باخت","سر به سر")))</f>
        <v/>
      </c>
      <c r="S428" s="22">
        <f>IF($P428="","",SUM($P$5:$P428))</f>
        <v/>
      </c>
      <c r="T428" s="24">
        <f>IF($R428="باخت",N($T427)+1,0)</f>
        <v/>
      </c>
      <c r="U428" s="22">
        <f>IF($S428="","",$S428-MAX($S$5:$S428))</f>
        <v/>
      </c>
    </row>
    <row r="429">
      <c r="A429" s="14" t="n"/>
      <c r="B429" s="15" t="n"/>
      <c r="C429" s="15" t="n"/>
      <c r="D429" s="15" t="n"/>
      <c r="E429" s="16" t="n"/>
      <c r="F429" s="16" t="n"/>
      <c r="G429" s="16" t="n"/>
      <c r="H429" s="17" t="n"/>
      <c r="I429" s="18" t="n"/>
      <c r="J429" s="18" t="n"/>
      <c r="K429" s="19" t="n"/>
      <c r="L429" s="20">
        <f>IF($B429="","",IFERROR(VLOOKUP($B429,'تنظیمات'!$A$4:$C$43,2,FALSE),1))</f>
        <v/>
      </c>
      <c r="M429" s="21">
        <f>IF($B429="","",IFERROR(VLOOKUP($B429,'تنظیمات'!$A$4:$C$43,3,FALSE),"USD"))</f>
        <v/>
      </c>
      <c r="N429" s="22">
        <f>IF(OR($E429="",$F429="",$H429="",$L429=""),"",ABS($E429-$F429)*$H429*IF($M429="BASE",$L429/$E429,$L429))</f>
        <v/>
      </c>
      <c r="O429" s="22">
        <f>IF($J429&lt;&gt;"",$J429,IF(OR($E429="",$G429="",$H429="",$L429=""),"",($G429-$E429)*IF($C429="فروش",-1,1)*$H429*IF($M429="BASE",$L429/$G429,$L429)))</f>
        <v/>
      </c>
      <c r="P429" s="22">
        <f>IF($O429="","",$O429-N($I429))</f>
        <v/>
      </c>
      <c r="Q429" s="23">
        <f>IF(OR($P429="",$N429="",$N429=0),"",$P429/$N429)</f>
        <v/>
      </c>
      <c r="R429" s="21">
        <f>IF($P429="","",IF($P429&gt;0,"برد",IF($P429&lt;0,"باخت","سر به سر")))</f>
        <v/>
      </c>
      <c r="S429" s="22">
        <f>IF($P429="","",SUM($P$5:$P429))</f>
        <v/>
      </c>
      <c r="T429" s="24">
        <f>IF($R429="باخت",N($T428)+1,0)</f>
        <v/>
      </c>
      <c r="U429" s="22">
        <f>IF($S429="","",$S429-MAX($S$5:$S429))</f>
        <v/>
      </c>
    </row>
    <row r="430">
      <c r="A430" s="14" t="n"/>
      <c r="B430" s="15" t="n"/>
      <c r="C430" s="15" t="n"/>
      <c r="D430" s="15" t="n"/>
      <c r="E430" s="16" t="n"/>
      <c r="F430" s="16" t="n"/>
      <c r="G430" s="16" t="n"/>
      <c r="H430" s="17" t="n"/>
      <c r="I430" s="18" t="n"/>
      <c r="J430" s="18" t="n"/>
      <c r="K430" s="19" t="n"/>
      <c r="L430" s="20">
        <f>IF($B430="","",IFERROR(VLOOKUP($B430,'تنظیمات'!$A$4:$C$43,2,FALSE),1))</f>
        <v/>
      </c>
      <c r="M430" s="21">
        <f>IF($B430="","",IFERROR(VLOOKUP($B430,'تنظیمات'!$A$4:$C$43,3,FALSE),"USD"))</f>
        <v/>
      </c>
      <c r="N430" s="22">
        <f>IF(OR($E430="",$F430="",$H430="",$L430=""),"",ABS($E430-$F430)*$H430*IF($M430="BASE",$L430/$E430,$L430))</f>
        <v/>
      </c>
      <c r="O430" s="22">
        <f>IF($J430&lt;&gt;"",$J430,IF(OR($E430="",$G430="",$H430="",$L430=""),"",($G430-$E430)*IF($C430="فروش",-1,1)*$H430*IF($M430="BASE",$L430/$G430,$L430)))</f>
        <v/>
      </c>
      <c r="P430" s="22">
        <f>IF($O430="","",$O430-N($I430))</f>
        <v/>
      </c>
      <c r="Q430" s="23">
        <f>IF(OR($P430="",$N430="",$N430=0),"",$P430/$N430)</f>
        <v/>
      </c>
      <c r="R430" s="21">
        <f>IF($P430="","",IF($P430&gt;0,"برد",IF($P430&lt;0,"باخت","سر به سر")))</f>
        <v/>
      </c>
      <c r="S430" s="22">
        <f>IF($P430="","",SUM($P$5:$P430))</f>
        <v/>
      </c>
      <c r="T430" s="24">
        <f>IF($R430="باخت",N($T429)+1,0)</f>
        <v/>
      </c>
      <c r="U430" s="22">
        <f>IF($S430="","",$S430-MAX($S$5:$S430))</f>
        <v/>
      </c>
    </row>
    <row r="431">
      <c r="A431" s="14" t="n"/>
      <c r="B431" s="15" t="n"/>
      <c r="C431" s="15" t="n"/>
      <c r="D431" s="15" t="n"/>
      <c r="E431" s="16" t="n"/>
      <c r="F431" s="16" t="n"/>
      <c r="G431" s="16" t="n"/>
      <c r="H431" s="17" t="n"/>
      <c r="I431" s="18" t="n"/>
      <c r="J431" s="18" t="n"/>
      <c r="K431" s="19" t="n"/>
      <c r="L431" s="20">
        <f>IF($B431="","",IFERROR(VLOOKUP($B431,'تنظیمات'!$A$4:$C$43,2,FALSE),1))</f>
        <v/>
      </c>
      <c r="M431" s="21">
        <f>IF($B431="","",IFERROR(VLOOKUP($B431,'تنظیمات'!$A$4:$C$43,3,FALSE),"USD"))</f>
        <v/>
      </c>
      <c r="N431" s="22">
        <f>IF(OR($E431="",$F431="",$H431="",$L431=""),"",ABS($E431-$F431)*$H431*IF($M431="BASE",$L431/$E431,$L431))</f>
        <v/>
      </c>
      <c r="O431" s="22">
        <f>IF($J431&lt;&gt;"",$J431,IF(OR($E431="",$G431="",$H431="",$L431=""),"",($G431-$E431)*IF($C431="فروش",-1,1)*$H431*IF($M431="BASE",$L431/$G431,$L431)))</f>
        <v/>
      </c>
      <c r="P431" s="22">
        <f>IF($O431="","",$O431-N($I431))</f>
        <v/>
      </c>
      <c r="Q431" s="23">
        <f>IF(OR($P431="",$N431="",$N431=0),"",$P431/$N431)</f>
        <v/>
      </c>
      <c r="R431" s="21">
        <f>IF($P431="","",IF($P431&gt;0,"برد",IF($P431&lt;0,"باخت","سر به سر")))</f>
        <v/>
      </c>
      <c r="S431" s="22">
        <f>IF($P431="","",SUM($P$5:$P431))</f>
        <v/>
      </c>
      <c r="T431" s="24">
        <f>IF($R431="باخت",N($T430)+1,0)</f>
        <v/>
      </c>
      <c r="U431" s="22">
        <f>IF($S431="","",$S431-MAX($S$5:$S431))</f>
        <v/>
      </c>
    </row>
    <row r="432">
      <c r="A432" s="14" t="n"/>
      <c r="B432" s="15" t="n"/>
      <c r="C432" s="15" t="n"/>
      <c r="D432" s="15" t="n"/>
      <c r="E432" s="16" t="n"/>
      <c r="F432" s="16" t="n"/>
      <c r="G432" s="16" t="n"/>
      <c r="H432" s="17" t="n"/>
      <c r="I432" s="18" t="n"/>
      <c r="J432" s="18" t="n"/>
      <c r="K432" s="19" t="n"/>
      <c r="L432" s="20">
        <f>IF($B432="","",IFERROR(VLOOKUP($B432,'تنظیمات'!$A$4:$C$43,2,FALSE),1))</f>
        <v/>
      </c>
      <c r="M432" s="21">
        <f>IF($B432="","",IFERROR(VLOOKUP($B432,'تنظیمات'!$A$4:$C$43,3,FALSE),"USD"))</f>
        <v/>
      </c>
      <c r="N432" s="22">
        <f>IF(OR($E432="",$F432="",$H432="",$L432=""),"",ABS($E432-$F432)*$H432*IF($M432="BASE",$L432/$E432,$L432))</f>
        <v/>
      </c>
      <c r="O432" s="22">
        <f>IF($J432&lt;&gt;"",$J432,IF(OR($E432="",$G432="",$H432="",$L432=""),"",($G432-$E432)*IF($C432="فروش",-1,1)*$H432*IF($M432="BASE",$L432/$G432,$L432)))</f>
        <v/>
      </c>
      <c r="P432" s="22">
        <f>IF($O432="","",$O432-N($I432))</f>
        <v/>
      </c>
      <c r="Q432" s="23">
        <f>IF(OR($P432="",$N432="",$N432=0),"",$P432/$N432)</f>
        <v/>
      </c>
      <c r="R432" s="21">
        <f>IF($P432="","",IF($P432&gt;0,"برد",IF($P432&lt;0,"باخت","سر به سر")))</f>
        <v/>
      </c>
      <c r="S432" s="22">
        <f>IF($P432="","",SUM($P$5:$P432))</f>
        <v/>
      </c>
      <c r="T432" s="24">
        <f>IF($R432="باخت",N($T431)+1,0)</f>
        <v/>
      </c>
      <c r="U432" s="22">
        <f>IF($S432="","",$S432-MAX($S$5:$S432))</f>
        <v/>
      </c>
    </row>
    <row r="433">
      <c r="A433" s="14" t="n"/>
      <c r="B433" s="15" t="n"/>
      <c r="C433" s="15" t="n"/>
      <c r="D433" s="15" t="n"/>
      <c r="E433" s="16" t="n"/>
      <c r="F433" s="16" t="n"/>
      <c r="G433" s="16" t="n"/>
      <c r="H433" s="17" t="n"/>
      <c r="I433" s="18" t="n"/>
      <c r="J433" s="18" t="n"/>
      <c r="K433" s="19" t="n"/>
      <c r="L433" s="20">
        <f>IF($B433="","",IFERROR(VLOOKUP($B433,'تنظیمات'!$A$4:$C$43,2,FALSE),1))</f>
        <v/>
      </c>
      <c r="M433" s="21">
        <f>IF($B433="","",IFERROR(VLOOKUP($B433,'تنظیمات'!$A$4:$C$43,3,FALSE),"USD"))</f>
        <v/>
      </c>
      <c r="N433" s="22">
        <f>IF(OR($E433="",$F433="",$H433="",$L433=""),"",ABS($E433-$F433)*$H433*IF($M433="BASE",$L433/$E433,$L433))</f>
        <v/>
      </c>
      <c r="O433" s="22">
        <f>IF($J433&lt;&gt;"",$J433,IF(OR($E433="",$G433="",$H433="",$L433=""),"",($G433-$E433)*IF($C433="فروش",-1,1)*$H433*IF($M433="BASE",$L433/$G433,$L433)))</f>
        <v/>
      </c>
      <c r="P433" s="22">
        <f>IF($O433="","",$O433-N($I433))</f>
        <v/>
      </c>
      <c r="Q433" s="23">
        <f>IF(OR($P433="",$N433="",$N433=0),"",$P433/$N433)</f>
        <v/>
      </c>
      <c r="R433" s="21">
        <f>IF($P433="","",IF($P433&gt;0,"برد",IF($P433&lt;0,"باخت","سر به سر")))</f>
        <v/>
      </c>
      <c r="S433" s="22">
        <f>IF($P433="","",SUM($P$5:$P433))</f>
        <v/>
      </c>
      <c r="T433" s="24">
        <f>IF($R433="باخت",N($T432)+1,0)</f>
        <v/>
      </c>
      <c r="U433" s="22">
        <f>IF($S433="","",$S433-MAX($S$5:$S433))</f>
        <v/>
      </c>
    </row>
    <row r="434">
      <c r="A434" s="14" t="n"/>
      <c r="B434" s="15" t="n"/>
      <c r="C434" s="15" t="n"/>
      <c r="D434" s="15" t="n"/>
      <c r="E434" s="16" t="n"/>
      <c r="F434" s="16" t="n"/>
      <c r="G434" s="16" t="n"/>
      <c r="H434" s="17" t="n"/>
      <c r="I434" s="18" t="n"/>
      <c r="J434" s="18" t="n"/>
      <c r="K434" s="19" t="n"/>
      <c r="L434" s="20">
        <f>IF($B434="","",IFERROR(VLOOKUP($B434,'تنظیمات'!$A$4:$C$43,2,FALSE),1))</f>
        <v/>
      </c>
      <c r="M434" s="21">
        <f>IF($B434="","",IFERROR(VLOOKUP($B434,'تنظیمات'!$A$4:$C$43,3,FALSE),"USD"))</f>
        <v/>
      </c>
      <c r="N434" s="22">
        <f>IF(OR($E434="",$F434="",$H434="",$L434=""),"",ABS($E434-$F434)*$H434*IF($M434="BASE",$L434/$E434,$L434))</f>
        <v/>
      </c>
      <c r="O434" s="22">
        <f>IF($J434&lt;&gt;"",$J434,IF(OR($E434="",$G434="",$H434="",$L434=""),"",($G434-$E434)*IF($C434="فروش",-1,1)*$H434*IF($M434="BASE",$L434/$G434,$L434)))</f>
        <v/>
      </c>
      <c r="P434" s="22">
        <f>IF($O434="","",$O434-N($I434))</f>
        <v/>
      </c>
      <c r="Q434" s="23">
        <f>IF(OR($P434="",$N434="",$N434=0),"",$P434/$N434)</f>
        <v/>
      </c>
      <c r="R434" s="21">
        <f>IF($P434="","",IF($P434&gt;0,"برد",IF($P434&lt;0,"باخت","سر به سر")))</f>
        <v/>
      </c>
      <c r="S434" s="22">
        <f>IF($P434="","",SUM($P$5:$P434))</f>
        <v/>
      </c>
      <c r="T434" s="24">
        <f>IF($R434="باخت",N($T433)+1,0)</f>
        <v/>
      </c>
      <c r="U434" s="22">
        <f>IF($S434="","",$S434-MAX($S$5:$S434))</f>
        <v/>
      </c>
    </row>
    <row r="435">
      <c r="A435" s="14" t="n"/>
      <c r="B435" s="15" t="n"/>
      <c r="C435" s="15" t="n"/>
      <c r="D435" s="15" t="n"/>
      <c r="E435" s="16" t="n"/>
      <c r="F435" s="16" t="n"/>
      <c r="G435" s="16" t="n"/>
      <c r="H435" s="17" t="n"/>
      <c r="I435" s="18" t="n"/>
      <c r="J435" s="18" t="n"/>
      <c r="K435" s="19" t="n"/>
      <c r="L435" s="20">
        <f>IF($B435="","",IFERROR(VLOOKUP($B435,'تنظیمات'!$A$4:$C$43,2,FALSE),1))</f>
        <v/>
      </c>
      <c r="M435" s="21">
        <f>IF($B435="","",IFERROR(VLOOKUP($B435,'تنظیمات'!$A$4:$C$43,3,FALSE),"USD"))</f>
        <v/>
      </c>
      <c r="N435" s="22">
        <f>IF(OR($E435="",$F435="",$H435="",$L435=""),"",ABS($E435-$F435)*$H435*IF($M435="BASE",$L435/$E435,$L435))</f>
        <v/>
      </c>
      <c r="O435" s="22">
        <f>IF($J435&lt;&gt;"",$J435,IF(OR($E435="",$G435="",$H435="",$L435=""),"",($G435-$E435)*IF($C435="فروش",-1,1)*$H435*IF($M435="BASE",$L435/$G435,$L435)))</f>
        <v/>
      </c>
      <c r="P435" s="22">
        <f>IF($O435="","",$O435-N($I435))</f>
        <v/>
      </c>
      <c r="Q435" s="23">
        <f>IF(OR($P435="",$N435="",$N435=0),"",$P435/$N435)</f>
        <v/>
      </c>
      <c r="R435" s="21">
        <f>IF($P435="","",IF($P435&gt;0,"برد",IF($P435&lt;0,"باخت","سر به سر")))</f>
        <v/>
      </c>
      <c r="S435" s="22">
        <f>IF($P435="","",SUM($P$5:$P435))</f>
        <v/>
      </c>
      <c r="T435" s="24">
        <f>IF($R435="باخت",N($T434)+1,0)</f>
        <v/>
      </c>
      <c r="U435" s="22">
        <f>IF($S435="","",$S435-MAX($S$5:$S435))</f>
        <v/>
      </c>
    </row>
    <row r="436">
      <c r="A436" s="14" t="n"/>
      <c r="B436" s="15" t="n"/>
      <c r="C436" s="15" t="n"/>
      <c r="D436" s="15" t="n"/>
      <c r="E436" s="16" t="n"/>
      <c r="F436" s="16" t="n"/>
      <c r="G436" s="16" t="n"/>
      <c r="H436" s="17" t="n"/>
      <c r="I436" s="18" t="n"/>
      <c r="J436" s="18" t="n"/>
      <c r="K436" s="19" t="n"/>
      <c r="L436" s="20">
        <f>IF($B436="","",IFERROR(VLOOKUP($B436,'تنظیمات'!$A$4:$C$43,2,FALSE),1))</f>
        <v/>
      </c>
      <c r="M436" s="21">
        <f>IF($B436="","",IFERROR(VLOOKUP($B436,'تنظیمات'!$A$4:$C$43,3,FALSE),"USD"))</f>
        <v/>
      </c>
      <c r="N436" s="22">
        <f>IF(OR($E436="",$F436="",$H436="",$L436=""),"",ABS($E436-$F436)*$H436*IF($M436="BASE",$L436/$E436,$L436))</f>
        <v/>
      </c>
      <c r="O436" s="22">
        <f>IF($J436&lt;&gt;"",$J436,IF(OR($E436="",$G436="",$H436="",$L436=""),"",($G436-$E436)*IF($C436="فروش",-1,1)*$H436*IF($M436="BASE",$L436/$G436,$L436)))</f>
        <v/>
      </c>
      <c r="P436" s="22">
        <f>IF($O436="","",$O436-N($I436))</f>
        <v/>
      </c>
      <c r="Q436" s="23">
        <f>IF(OR($P436="",$N436="",$N436=0),"",$P436/$N436)</f>
        <v/>
      </c>
      <c r="R436" s="21">
        <f>IF($P436="","",IF($P436&gt;0,"برد",IF($P436&lt;0,"باخت","سر به سر")))</f>
        <v/>
      </c>
      <c r="S436" s="22">
        <f>IF($P436="","",SUM($P$5:$P436))</f>
        <v/>
      </c>
      <c r="T436" s="24">
        <f>IF($R436="باخت",N($T435)+1,0)</f>
        <v/>
      </c>
      <c r="U436" s="22">
        <f>IF($S436="","",$S436-MAX($S$5:$S436))</f>
        <v/>
      </c>
    </row>
    <row r="437">
      <c r="A437" s="14" t="n"/>
      <c r="B437" s="15" t="n"/>
      <c r="C437" s="15" t="n"/>
      <c r="D437" s="15" t="n"/>
      <c r="E437" s="16" t="n"/>
      <c r="F437" s="16" t="n"/>
      <c r="G437" s="16" t="n"/>
      <c r="H437" s="17" t="n"/>
      <c r="I437" s="18" t="n"/>
      <c r="J437" s="18" t="n"/>
      <c r="K437" s="19" t="n"/>
      <c r="L437" s="20">
        <f>IF($B437="","",IFERROR(VLOOKUP($B437,'تنظیمات'!$A$4:$C$43,2,FALSE),1))</f>
        <v/>
      </c>
      <c r="M437" s="21">
        <f>IF($B437="","",IFERROR(VLOOKUP($B437,'تنظیمات'!$A$4:$C$43,3,FALSE),"USD"))</f>
        <v/>
      </c>
      <c r="N437" s="22">
        <f>IF(OR($E437="",$F437="",$H437="",$L437=""),"",ABS($E437-$F437)*$H437*IF($M437="BASE",$L437/$E437,$L437))</f>
        <v/>
      </c>
      <c r="O437" s="22">
        <f>IF($J437&lt;&gt;"",$J437,IF(OR($E437="",$G437="",$H437="",$L437=""),"",($G437-$E437)*IF($C437="فروش",-1,1)*$H437*IF($M437="BASE",$L437/$G437,$L437)))</f>
        <v/>
      </c>
      <c r="P437" s="22">
        <f>IF($O437="","",$O437-N($I437))</f>
        <v/>
      </c>
      <c r="Q437" s="23">
        <f>IF(OR($P437="",$N437="",$N437=0),"",$P437/$N437)</f>
        <v/>
      </c>
      <c r="R437" s="21">
        <f>IF($P437="","",IF($P437&gt;0,"برد",IF($P437&lt;0,"باخت","سر به سر")))</f>
        <v/>
      </c>
      <c r="S437" s="22">
        <f>IF($P437="","",SUM($P$5:$P437))</f>
        <v/>
      </c>
      <c r="T437" s="24">
        <f>IF($R437="باخت",N($T436)+1,0)</f>
        <v/>
      </c>
      <c r="U437" s="22">
        <f>IF($S437="","",$S437-MAX($S$5:$S437))</f>
        <v/>
      </c>
    </row>
    <row r="438">
      <c r="A438" s="14" t="n"/>
      <c r="B438" s="15" t="n"/>
      <c r="C438" s="15" t="n"/>
      <c r="D438" s="15" t="n"/>
      <c r="E438" s="16" t="n"/>
      <c r="F438" s="16" t="n"/>
      <c r="G438" s="16" t="n"/>
      <c r="H438" s="17" t="n"/>
      <c r="I438" s="18" t="n"/>
      <c r="J438" s="18" t="n"/>
      <c r="K438" s="19" t="n"/>
      <c r="L438" s="20">
        <f>IF($B438="","",IFERROR(VLOOKUP($B438,'تنظیمات'!$A$4:$C$43,2,FALSE),1))</f>
        <v/>
      </c>
      <c r="M438" s="21">
        <f>IF($B438="","",IFERROR(VLOOKUP($B438,'تنظیمات'!$A$4:$C$43,3,FALSE),"USD"))</f>
        <v/>
      </c>
      <c r="N438" s="22">
        <f>IF(OR($E438="",$F438="",$H438="",$L438=""),"",ABS($E438-$F438)*$H438*IF($M438="BASE",$L438/$E438,$L438))</f>
        <v/>
      </c>
      <c r="O438" s="22">
        <f>IF($J438&lt;&gt;"",$J438,IF(OR($E438="",$G438="",$H438="",$L438=""),"",($G438-$E438)*IF($C438="فروش",-1,1)*$H438*IF($M438="BASE",$L438/$G438,$L438)))</f>
        <v/>
      </c>
      <c r="P438" s="22">
        <f>IF($O438="","",$O438-N($I438))</f>
        <v/>
      </c>
      <c r="Q438" s="23">
        <f>IF(OR($P438="",$N438="",$N438=0),"",$P438/$N438)</f>
        <v/>
      </c>
      <c r="R438" s="21">
        <f>IF($P438="","",IF($P438&gt;0,"برد",IF($P438&lt;0,"باخت","سر به سر")))</f>
        <v/>
      </c>
      <c r="S438" s="22">
        <f>IF($P438="","",SUM($P$5:$P438))</f>
        <v/>
      </c>
      <c r="T438" s="24">
        <f>IF($R438="باخت",N($T437)+1,0)</f>
        <v/>
      </c>
      <c r="U438" s="22">
        <f>IF($S438="","",$S438-MAX($S$5:$S438))</f>
        <v/>
      </c>
    </row>
    <row r="439">
      <c r="A439" s="14" t="n"/>
      <c r="B439" s="15" t="n"/>
      <c r="C439" s="15" t="n"/>
      <c r="D439" s="15" t="n"/>
      <c r="E439" s="16" t="n"/>
      <c r="F439" s="16" t="n"/>
      <c r="G439" s="16" t="n"/>
      <c r="H439" s="17" t="n"/>
      <c r="I439" s="18" t="n"/>
      <c r="J439" s="18" t="n"/>
      <c r="K439" s="19" t="n"/>
      <c r="L439" s="20">
        <f>IF($B439="","",IFERROR(VLOOKUP($B439,'تنظیمات'!$A$4:$C$43,2,FALSE),1))</f>
        <v/>
      </c>
      <c r="M439" s="21">
        <f>IF($B439="","",IFERROR(VLOOKUP($B439,'تنظیمات'!$A$4:$C$43,3,FALSE),"USD"))</f>
        <v/>
      </c>
      <c r="N439" s="22">
        <f>IF(OR($E439="",$F439="",$H439="",$L439=""),"",ABS($E439-$F439)*$H439*IF($M439="BASE",$L439/$E439,$L439))</f>
        <v/>
      </c>
      <c r="O439" s="22">
        <f>IF($J439&lt;&gt;"",$J439,IF(OR($E439="",$G439="",$H439="",$L439=""),"",($G439-$E439)*IF($C439="فروش",-1,1)*$H439*IF($M439="BASE",$L439/$G439,$L439)))</f>
        <v/>
      </c>
      <c r="P439" s="22">
        <f>IF($O439="","",$O439-N($I439))</f>
        <v/>
      </c>
      <c r="Q439" s="23">
        <f>IF(OR($P439="",$N439="",$N439=0),"",$P439/$N439)</f>
        <v/>
      </c>
      <c r="R439" s="21">
        <f>IF($P439="","",IF($P439&gt;0,"برد",IF($P439&lt;0,"باخت","سر به سر")))</f>
        <v/>
      </c>
      <c r="S439" s="22">
        <f>IF($P439="","",SUM($P$5:$P439))</f>
        <v/>
      </c>
      <c r="T439" s="24">
        <f>IF($R439="باخت",N($T438)+1,0)</f>
        <v/>
      </c>
      <c r="U439" s="22">
        <f>IF($S439="","",$S439-MAX($S$5:$S439))</f>
        <v/>
      </c>
    </row>
    <row r="440">
      <c r="A440" s="14" t="n"/>
      <c r="B440" s="15" t="n"/>
      <c r="C440" s="15" t="n"/>
      <c r="D440" s="15" t="n"/>
      <c r="E440" s="16" t="n"/>
      <c r="F440" s="16" t="n"/>
      <c r="G440" s="16" t="n"/>
      <c r="H440" s="17" t="n"/>
      <c r="I440" s="18" t="n"/>
      <c r="J440" s="18" t="n"/>
      <c r="K440" s="19" t="n"/>
      <c r="L440" s="20">
        <f>IF($B440="","",IFERROR(VLOOKUP($B440,'تنظیمات'!$A$4:$C$43,2,FALSE),1))</f>
        <v/>
      </c>
      <c r="M440" s="21">
        <f>IF($B440="","",IFERROR(VLOOKUP($B440,'تنظیمات'!$A$4:$C$43,3,FALSE),"USD"))</f>
        <v/>
      </c>
      <c r="N440" s="22">
        <f>IF(OR($E440="",$F440="",$H440="",$L440=""),"",ABS($E440-$F440)*$H440*IF($M440="BASE",$L440/$E440,$L440))</f>
        <v/>
      </c>
      <c r="O440" s="22">
        <f>IF($J440&lt;&gt;"",$J440,IF(OR($E440="",$G440="",$H440="",$L440=""),"",($G440-$E440)*IF($C440="فروش",-1,1)*$H440*IF($M440="BASE",$L440/$G440,$L440)))</f>
        <v/>
      </c>
      <c r="P440" s="22">
        <f>IF($O440="","",$O440-N($I440))</f>
        <v/>
      </c>
      <c r="Q440" s="23">
        <f>IF(OR($P440="",$N440="",$N440=0),"",$P440/$N440)</f>
        <v/>
      </c>
      <c r="R440" s="21">
        <f>IF($P440="","",IF($P440&gt;0,"برد",IF($P440&lt;0,"باخت","سر به سر")))</f>
        <v/>
      </c>
      <c r="S440" s="22">
        <f>IF($P440="","",SUM($P$5:$P440))</f>
        <v/>
      </c>
      <c r="T440" s="24">
        <f>IF($R440="باخت",N($T439)+1,0)</f>
        <v/>
      </c>
      <c r="U440" s="22">
        <f>IF($S440="","",$S440-MAX($S$5:$S440))</f>
        <v/>
      </c>
    </row>
    <row r="441">
      <c r="A441" s="14" t="n"/>
      <c r="B441" s="15" t="n"/>
      <c r="C441" s="15" t="n"/>
      <c r="D441" s="15" t="n"/>
      <c r="E441" s="16" t="n"/>
      <c r="F441" s="16" t="n"/>
      <c r="G441" s="16" t="n"/>
      <c r="H441" s="17" t="n"/>
      <c r="I441" s="18" t="n"/>
      <c r="J441" s="18" t="n"/>
      <c r="K441" s="19" t="n"/>
      <c r="L441" s="20">
        <f>IF($B441="","",IFERROR(VLOOKUP($B441,'تنظیمات'!$A$4:$C$43,2,FALSE),1))</f>
        <v/>
      </c>
      <c r="M441" s="21">
        <f>IF($B441="","",IFERROR(VLOOKUP($B441,'تنظیمات'!$A$4:$C$43,3,FALSE),"USD"))</f>
        <v/>
      </c>
      <c r="N441" s="22">
        <f>IF(OR($E441="",$F441="",$H441="",$L441=""),"",ABS($E441-$F441)*$H441*IF($M441="BASE",$L441/$E441,$L441))</f>
        <v/>
      </c>
      <c r="O441" s="22">
        <f>IF($J441&lt;&gt;"",$J441,IF(OR($E441="",$G441="",$H441="",$L441=""),"",($G441-$E441)*IF($C441="فروش",-1,1)*$H441*IF($M441="BASE",$L441/$G441,$L441)))</f>
        <v/>
      </c>
      <c r="P441" s="22">
        <f>IF($O441="","",$O441-N($I441))</f>
        <v/>
      </c>
      <c r="Q441" s="23">
        <f>IF(OR($P441="",$N441="",$N441=0),"",$P441/$N441)</f>
        <v/>
      </c>
      <c r="R441" s="21">
        <f>IF($P441="","",IF($P441&gt;0,"برد",IF($P441&lt;0,"باخت","سر به سر")))</f>
        <v/>
      </c>
      <c r="S441" s="22">
        <f>IF($P441="","",SUM($P$5:$P441))</f>
        <v/>
      </c>
      <c r="T441" s="24">
        <f>IF($R441="باخت",N($T440)+1,0)</f>
        <v/>
      </c>
      <c r="U441" s="22">
        <f>IF($S441="","",$S441-MAX($S$5:$S441))</f>
        <v/>
      </c>
    </row>
    <row r="442">
      <c r="A442" s="14" t="n"/>
      <c r="B442" s="15" t="n"/>
      <c r="C442" s="15" t="n"/>
      <c r="D442" s="15" t="n"/>
      <c r="E442" s="16" t="n"/>
      <c r="F442" s="16" t="n"/>
      <c r="G442" s="16" t="n"/>
      <c r="H442" s="17" t="n"/>
      <c r="I442" s="18" t="n"/>
      <c r="J442" s="18" t="n"/>
      <c r="K442" s="19" t="n"/>
      <c r="L442" s="20">
        <f>IF($B442="","",IFERROR(VLOOKUP($B442,'تنظیمات'!$A$4:$C$43,2,FALSE),1))</f>
        <v/>
      </c>
      <c r="M442" s="21">
        <f>IF($B442="","",IFERROR(VLOOKUP($B442,'تنظیمات'!$A$4:$C$43,3,FALSE),"USD"))</f>
        <v/>
      </c>
      <c r="N442" s="22">
        <f>IF(OR($E442="",$F442="",$H442="",$L442=""),"",ABS($E442-$F442)*$H442*IF($M442="BASE",$L442/$E442,$L442))</f>
        <v/>
      </c>
      <c r="O442" s="22">
        <f>IF($J442&lt;&gt;"",$J442,IF(OR($E442="",$G442="",$H442="",$L442=""),"",($G442-$E442)*IF($C442="فروش",-1,1)*$H442*IF($M442="BASE",$L442/$G442,$L442)))</f>
        <v/>
      </c>
      <c r="P442" s="22">
        <f>IF($O442="","",$O442-N($I442))</f>
        <v/>
      </c>
      <c r="Q442" s="23">
        <f>IF(OR($P442="",$N442="",$N442=0),"",$P442/$N442)</f>
        <v/>
      </c>
      <c r="R442" s="21">
        <f>IF($P442="","",IF($P442&gt;0,"برد",IF($P442&lt;0,"باخت","سر به سر")))</f>
        <v/>
      </c>
      <c r="S442" s="22">
        <f>IF($P442="","",SUM($P$5:$P442))</f>
        <v/>
      </c>
      <c r="T442" s="24">
        <f>IF($R442="باخت",N($T441)+1,0)</f>
        <v/>
      </c>
      <c r="U442" s="22">
        <f>IF($S442="","",$S442-MAX($S$5:$S442))</f>
        <v/>
      </c>
    </row>
    <row r="443">
      <c r="A443" s="14" t="n"/>
      <c r="B443" s="15" t="n"/>
      <c r="C443" s="15" t="n"/>
      <c r="D443" s="15" t="n"/>
      <c r="E443" s="16" t="n"/>
      <c r="F443" s="16" t="n"/>
      <c r="G443" s="16" t="n"/>
      <c r="H443" s="17" t="n"/>
      <c r="I443" s="18" t="n"/>
      <c r="J443" s="18" t="n"/>
      <c r="K443" s="19" t="n"/>
      <c r="L443" s="20">
        <f>IF($B443="","",IFERROR(VLOOKUP($B443,'تنظیمات'!$A$4:$C$43,2,FALSE),1))</f>
        <v/>
      </c>
      <c r="M443" s="21">
        <f>IF($B443="","",IFERROR(VLOOKUP($B443,'تنظیمات'!$A$4:$C$43,3,FALSE),"USD"))</f>
        <v/>
      </c>
      <c r="N443" s="22">
        <f>IF(OR($E443="",$F443="",$H443="",$L443=""),"",ABS($E443-$F443)*$H443*IF($M443="BASE",$L443/$E443,$L443))</f>
        <v/>
      </c>
      <c r="O443" s="22">
        <f>IF($J443&lt;&gt;"",$J443,IF(OR($E443="",$G443="",$H443="",$L443=""),"",($G443-$E443)*IF($C443="فروش",-1,1)*$H443*IF($M443="BASE",$L443/$G443,$L443)))</f>
        <v/>
      </c>
      <c r="P443" s="22">
        <f>IF($O443="","",$O443-N($I443))</f>
        <v/>
      </c>
      <c r="Q443" s="23">
        <f>IF(OR($P443="",$N443="",$N443=0),"",$P443/$N443)</f>
        <v/>
      </c>
      <c r="R443" s="21">
        <f>IF($P443="","",IF($P443&gt;0,"برد",IF($P443&lt;0,"باخت","سر به سر")))</f>
        <v/>
      </c>
      <c r="S443" s="22">
        <f>IF($P443="","",SUM($P$5:$P443))</f>
        <v/>
      </c>
      <c r="T443" s="24">
        <f>IF($R443="باخت",N($T442)+1,0)</f>
        <v/>
      </c>
      <c r="U443" s="22">
        <f>IF($S443="","",$S443-MAX($S$5:$S443))</f>
        <v/>
      </c>
    </row>
    <row r="444">
      <c r="A444" s="14" t="n"/>
      <c r="B444" s="15" t="n"/>
      <c r="C444" s="15" t="n"/>
      <c r="D444" s="15" t="n"/>
      <c r="E444" s="16" t="n"/>
      <c r="F444" s="16" t="n"/>
      <c r="G444" s="16" t="n"/>
      <c r="H444" s="17" t="n"/>
      <c r="I444" s="18" t="n"/>
      <c r="J444" s="18" t="n"/>
      <c r="K444" s="19" t="n"/>
      <c r="L444" s="20">
        <f>IF($B444="","",IFERROR(VLOOKUP($B444,'تنظیمات'!$A$4:$C$43,2,FALSE),1))</f>
        <v/>
      </c>
      <c r="M444" s="21">
        <f>IF($B444="","",IFERROR(VLOOKUP($B444,'تنظیمات'!$A$4:$C$43,3,FALSE),"USD"))</f>
        <v/>
      </c>
      <c r="N444" s="22">
        <f>IF(OR($E444="",$F444="",$H444="",$L444=""),"",ABS($E444-$F444)*$H444*IF($M444="BASE",$L444/$E444,$L444))</f>
        <v/>
      </c>
      <c r="O444" s="22">
        <f>IF($J444&lt;&gt;"",$J444,IF(OR($E444="",$G444="",$H444="",$L444=""),"",($G444-$E444)*IF($C444="فروش",-1,1)*$H444*IF($M444="BASE",$L444/$G444,$L444)))</f>
        <v/>
      </c>
      <c r="P444" s="22">
        <f>IF($O444="","",$O444-N($I444))</f>
        <v/>
      </c>
      <c r="Q444" s="23">
        <f>IF(OR($P444="",$N444="",$N444=0),"",$P444/$N444)</f>
        <v/>
      </c>
      <c r="R444" s="21">
        <f>IF($P444="","",IF($P444&gt;0,"برد",IF($P444&lt;0,"باخت","سر به سر")))</f>
        <v/>
      </c>
      <c r="S444" s="22">
        <f>IF($P444="","",SUM($P$5:$P444))</f>
        <v/>
      </c>
      <c r="T444" s="24">
        <f>IF($R444="باخت",N($T443)+1,0)</f>
        <v/>
      </c>
      <c r="U444" s="22">
        <f>IF($S444="","",$S444-MAX($S$5:$S444))</f>
        <v/>
      </c>
    </row>
    <row r="445">
      <c r="A445" s="14" t="n"/>
      <c r="B445" s="15" t="n"/>
      <c r="C445" s="15" t="n"/>
      <c r="D445" s="15" t="n"/>
      <c r="E445" s="16" t="n"/>
      <c r="F445" s="16" t="n"/>
      <c r="G445" s="16" t="n"/>
      <c r="H445" s="17" t="n"/>
      <c r="I445" s="18" t="n"/>
      <c r="J445" s="18" t="n"/>
      <c r="K445" s="19" t="n"/>
      <c r="L445" s="20">
        <f>IF($B445="","",IFERROR(VLOOKUP($B445,'تنظیمات'!$A$4:$C$43,2,FALSE),1))</f>
        <v/>
      </c>
      <c r="M445" s="21">
        <f>IF($B445="","",IFERROR(VLOOKUP($B445,'تنظیمات'!$A$4:$C$43,3,FALSE),"USD"))</f>
        <v/>
      </c>
      <c r="N445" s="22">
        <f>IF(OR($E445="",$F445="",$H445="",$L445=""),"",ABS($E445-$F445)*$H445*IF($M445="BASE",$L445/$E445,$L445))</f>
        <v/>
      </c>
      <c r="O445" s="22">
        <f>IF($J445&lt;&gt;"",$J445,IF(OR($E445="",$G445="",$H445="",$L445=""),"",($G445-$E445)*IF($C445="فروش",-1,1)*$H445*IF($M445="BASE",$L445/$G445,$L445)))</f>
        <v/>
      </c>
      <c r="P445" s="22">
        <f>IF($O445="","",$O445-N($I445))</f>
        <v/>
      </c>
      <c r="Q445" s="23">
        <f>IF(OR($P445="",$N445="",$N445=0),"",$P445/$N445)</f>
        <v/>
      </c>
      <c r="R445" s="21">
        <f>IF($P445="","",IF($P445&gt;0,"برد",IF($P445&lt;0,"باخت","سر به سر")))</f>
        <v/>
      </c>
      <c r="S445" s="22">
        <f>IF($P445="","",SUM($P$5:$P445))</f>
        <v/>
      </c>
      <c r="T445" s="24">
        <f>IF($R445="باخت",N($T444)+1,0)</f>
        <v/>
      </c>
      <c r="U445" s="22">
        <f>IF($S445="","",$S445-MAX($S$5:$S445))</f>
        <v/>
      </c>
    </row>
    <row r="446">
      <c r="A446" s="14" t="n"/>
      <c r="B446" s="15" t="n"/>
      <c r="C446" s="15" t="n"/>
      <c r="D446" s="15" t="n"/>
      <c r="E446" s="16" t="n"/>
      <c r="F446" s="16" t="n"/>
      <c r="G446" s="16" t="n"/>
      <c r="H446" s="17" t="n"/>
      <c r="I446" s="18" t="n"/>
      <c r="J446" s="18" t="n"/>
      <c r="K446" s="19" t="n"/>
      <c r="L446" s="20">
        <f>IF($B446="","",IFERROR(VLOOKUP($B446,'تنظیمات'!$A$4:$C$43,2,FALSE),1))</f>
        <v/>
      </c>
      <c r="M446" s="21">
        <f>IF($B446="","",IFERROR(VLOOKUP($B446,'تنظیمات'!$A$4:$C$43,3,FALSE),"USD"))</f>
        <v/>
      </c>
      <c r="N446" s="22">
        <f>IF(OR($E446="",$F446="",$H446="",$L446=""),"",ABS($E446-$F446)*$H446*IF($M446="BASE",$L446/$E446,$L446))</f>
        <v/>
      </c>
      <c r="O446" s="22">
        <f>IF($J446&lt;&gt;"",$J446,IF(OR($E446="",$G446="",$H446="",$L446=""),"",($G446-$E446)*IF($C446="فروش",-1,1)*$H446*IF($M446="BASE",$L446/$G446,$L446)))</f>
        <v/>
      </c>
      <c r="P446" s="22">
        <f>IF($O446="","",$O446-N($I446))</f>
        <v/>
      </c>
      <c r="Q446" s="23">
        <f>IF(OR($P446="",$N446="",$N446=0),"",$P446/$N446)</f>
        <v/>
      </c>
      <c r="R446" s="21">
        <f>IF($P446="","",IF($P446&gt;0,"برد",IF($P446&lt;0,"باخت","سر به سر")))</f>
        <v/>
      </c>
      <c r="S446" s="22">
        <f>IF($P446="","",SUM($P$5:$P446))</f>
        <v/>
      </c>
      <c r="T446" s="24">
        <f>IF($R446="باخت",N($T445)+1,0)</f>
        <v/>
      </c>
      <c r="U446" s="22">
        <f>IF($S446="","",$S446-MAX($S$5:$S446))</f>
        <v/>
      </c>
    </row>
    <row r="447">
      <c r="A447" s="14" t="n"/>
      <c r="B447" s="15" t="n"/>
      <c r="C447" s="15" t="n"/>
      <c r="D447" s="15" t="n"/>
      <c r="E447" s="16" t="n"/>
      <c r="F447" s="16" t="n"/>
      <c r="G447" s="16" t="n"/>
      <c r="H447" s="17" t="n"/>
      <c r="I447" s="18" t="n"/>
      <c r="J447" s="18" t="n"/>
      <c r="K447" s="19" t="n"/>
      <c r="L447" s="20">
        <f>IF($B447="","",IFERROR(VLOOKUP($B447,'تنظیمات'!$A$4:$C$43,2,FALSE),1))</f>
        <v/>
      </c>
      <c r="M447" s="21">
        <f>IF($B447="","",IFERROR(VLOOKUP($B447,'تنظیمات'!$A$4:$C$43,3,FALSE),"USD"))</f>
        <v/>
      </c>
      <c r="N447" s="22">
        <f>IF(OR($E447="",$F447="",$H447="",$L447=""),"",ABS($E447-$F447)*$H447*IF($M447="BASE",$L447/$E447,$L447))</f>
        <v/>
      </c>
      <c r="O447" s="22">
        <f>IF($J447&lt;&gt;"",$J447,IF(OR($E447="",$G447="",$H447="",$L447=""),"",($G447-$E447)*IF($C447="فروش",-1,1)*$H447*IF($M447="BASE",$L447/$G447,$L447)))</f>
        <v/>
      </c>
      <c r="P447" s="22">
        <f>IF($O447="","",$O447-N($I447))</f>
        <v/>
      </c>
      <c r="Q447" s="23">
        <f>IF(OR($P447="",$N447="",$N447=0),"",$P447/$N447)</f>
        <v/>
      </c>
      <c r="R447" s="21">
        <f>IF($P447="","",IF($P447&gt;0,"برد",IF($P447&lt;0,"باخت","سر به سر")))</f>
        <v/>
      </c>
      <c r="S447" s="22">
        <f>IF($P447="","",SUM($P$5:$P447))</f>
        <v/>
      </c>
      <c r="T447" s="24">
        <f>IF($R447="باخت",N($T446)+1,0)</f>
        <v/>
      </c>
      <c r="U447" s="22">
        <f>IF($S447="","",$S447-MAX($S$5:$S447))</f>
        <v/>
      </c>
    </row>
    <row r="448">
      <c r="A448" s="14" t="n"/>
      <c r="B448" s="15" t="n"/>
      <c r="C448" s="15" t="n"/>
      <c r="D448" s="15" t="n"/>
      <c r="E448" s="16" t="n"/>
      <c r="F448" s="16" t="n"/>
      <c r="G448" s="16" t="n"/>
      <c r="H448" s="17" t="n"/>
      <c r="I448" s="18" t="n"/>
      <c r="J448" s="18" t="n"/>
      <c r="K448" s="19" t="n"/>
      <c r="L448" s="20">
        <f>IF($B448="","",IFERROR(VLOOKUP($B448,'تنظیمات'!$A$4:$C$43,2,FALSE),1))</f>
        <v/>
      </c>
      <c r="M448" s="21">
        <f>IF($B448="","",IFERROR(VLOOKUP($B448,'تنظیمات'!$A$4:$C$43,3,FALSE),"USD"))</f>
        <v/>
      </c>
      <c r="N448" s="22">
        <f>IF(OR($E448="",$F448="",$H448="",$L448=""),"",ABS($E448-$F448)*$H448*IF($M448="BASE",$L448/$E448,$L448))</f>
        <v/>
      </c>
      <c r="O448" s="22">
        <f>IF($J448&lt;&gt;"",$J448,IF(OR($E448="",$G448="",$H448="",$L448=""),"",($G448-$E448)*IF($C448="فروش",-1,1)*$H448*IF($M448="BASE",$L448/$G448,$L448)))</f>
        <v/>
      </c>
      <c r="P448" s="22">
        <f>IF($O448="","",$O448-N($I448))</f>
        <v/>
      </c>
      <c r="Q448" s="23">
        <f>IF(OR($P448="",$N448="",$N448=0),"",$P448/$N448)</f>
        <v/>
      </c>
      <c r="R448" s="21">
        <f>IF($P448="","",IF($P448&gt;0,"برد",IF($P448&lt;0,"باخت","سر به سر")))</f>
        <v/>
      </c>
      <c r="S448" s="22">
        <f>IF($P448="","",SUM($P$5:$P448))</f>
        <v/>
      </c>
      <c r="T448" s="24">
        <f>IF($R448="باخت",N($T447)+1,0)</f>
        <v/>
      </c>
      <c r="U448" s="22">
        <f>IF($S448="","",$S448-MAX($S$5:$S448))</f>
        <v/>
      </c>
    </row>
    <row r="449">
      <c r="A449" s="14" t="n"/>
      <c r="B449" s="15" t="n"/>
      <c r="C449" s="15" t="n"/>
      <c r="D449" s="15" t="n"/>
      <c r="E449" s="16" t="n"/>
      <c r="F449" s="16" t="n"/>
      <c r="G449" s="16" t="n"/>
      <c r="H449" s="17" t="n"/>
      <c r="I449" s="18" t="n"/>
      <c r="J449" s="18" t="n"/>
      <c r="K449" s="19" t="n"/>
      <c r="L449" s="20">
        <f>IF($B449="","",IFERROR(VLOOKUP($B449,'تنظیمات'!$A$4:$C$43,2,FALSE),1))</f>
        <v/>
      </c>
      <c r="M449" s="21">
        <f>IF($B449="","",IFERROR(VLOOKUP($B449,'تنظیمات'!$A$4:$C$43,3,FALSE),"USD"))</f>
        <v/>
      </c>
      <c r="N449" s="22">
        <f>IF(OR($E449="",$F449="",$H449="",$L449=""),"",ABS($E449-$F449)*$H449*IF($M449="BASE",$L449/$E449,$L449))</f>
        <v/>
      </c>
      <c r="O449" s="22">
        <f>IF($J449&lt;&gt;"",$J449,IF(OR($E449="",$G449="",$H449="",$L449=""),"",($G449-$E449)*IF($C449="فروش",-1,1)*$H449*IF($M449="BASE",$L449/$G449,$L449)))</f>
        <v/>
      </c>
      <c r="P449" s="22">
        <f>IF($O449="","",$O449-N($I449))</f>
        <v/>
      </c>
      <c r="Q449" s="23">
        <f>IF(OR($P449="",$N449="",$N449=0),"",$P449/$N449)</f>
        <v/>
      </c>
      <c r="R449" s="21">
        <f>IF($P449="","",IF($P449&gt;0,"برد",IF($P449&lt;0,"باخت","سر به سر")))</f>
        <v/>
      </c>
      <c r="S449" s="22">
        <f>IF($P449="","",SUM($P$5:$P449))</f>
        <v/>
      </c>
      <c r="T449" s="24">
        <f>IF($R449="باخت",N($T448)+1,0)</f>
        <v/>
      </c>
      <c r="U449" s="22">
        <f>IF($S449="","",$S449-MAX($S$5:$S449))</f>
        <v/>
      </c>
    </row>
    <row r="450">
      <c r="A450" s="14" t="n"/>
      <c r="B450" s="15" t="n"/>
      <c r="C450" s="15" t="n"/>
      <c r="D450" s="15" t="n"/>
      <c r="E450" s="16" t="n"/>
      <c r="F450" s="16" t="n"/>
      <c r="G450" s="16" t="n"/>
      <c r="H450" s="17" t="n"/>
      <c r="I450" s="18" t="n"/>
      <c r="J450" s="18" t="n"/>
      <c r="K450" s="19" t="n"/>
      <c r="L450" s="20">
        <f>IF($B450="","",IFERROR(VLOOKUP($B450,'تنظیمات'!$A$4:$C$43,2,FALSE),1))</f>
        <v/>
      </c>
      <c r="M450" s="21">
        <f>IF($B450="","",IFERROR(VLOOKUP($B450,'تنظیمات'!$A$4:$C$43,3,FALSE),"USD"))</f>
        <v/>
      </c>
      <c r="N450" s="22">
        <f>IF(OR($E450="",$F450="",$H450="",$L450=""),"",ABS($E450-$F450)*$H450*IF($M450="BASE",$L450/$E450,$L450))</f>
        <v/>
      </c>
      <c r="O450" s="22">
        <f>IF($J450&lt;&gt;"",$J450,IF(OR($E450="",$G450="",$H450="",$L450=""),"",($G450-$E450)*IF($C450="فروش",-1,1)*$H450*IF($M450="BASE",$L450/$G450,$L450)))</f>
        <v/>
      </c>
      <c r="P450" s="22">
        <f>IF($O450="","",$O450-N($I450))</f>
        <v/>
      </c>
      <c r="Q450" s="23">
        <f>IF(OR($P450="",$N450="",$N450=0),"",$P450/$N450)</f>
        <v/>
      </c>
      <c r="R450" s="21">
        <f>IF($P450="","",IF($P450&gt;0,"برد",IF($P450&lt;0,"باخت","سر به سر")))</f>
        <v/>
      </c>
      <c r="S450" s="22">
        <f>IF($P450="","",SUM($P$5:$P450))</f>
        <v/>
      </c>
      <c r="T450" s="24">
        <f>IF($R450="باخت",N($T449)+1,0)</f>
        <v/>
      </c>
      <c r="U450" s="22">
        <f>IF($S450="","",$S450-MAX($S$5:$S450))</f>
        <v/>
      </c>
    </row>
    <row r="451">
      <c r="A451" s="14" t="n"/>
      <c r="B451" s="15" t="n"/>
      <c r="C451" s="15" t="n"/>
      <c r="D451" s="15" t="n"/>
      <c r="E451" s="16" t="n"/>
      <c r="F451" s="16" t="n"/>
      <c r="G451" s="16" t="n"/>
      <c r="H451" s="17" t="n"/>
      <c r="I451" s="18" t="n"/>
      <c r="J451" s="18" t="n"/>
      <c r="K451" s="19" t="n"/>
      <c r="L451" s="20">
        <f>IF($B451="","",IFERROR(VLOOKUP($B451,'تنظیمات'!$A$4:$C$43,2,FALSE),1))</f>
        <v/>
      </c>
      <c r="M451" s="21">
        <f>IF($B451="","",IFERROR(VLOOKUP($B451,'تنظیمات'!$A$4:$C$43,3,FALSE),"USD"))</f>
        <v/>
      </c>
      <c r="N451" s="22">
        <f>IF(OR($E451="",$F451="",$H451="",$L451=""),"",ABS($E451-$F451)*$H451*IF($M451="BASE",$L451/$E451,$L451))</f>
        <v/>
      </c>
      <c r="O451" s="22">
        <f>IF($J451&lt;&gt;"",$J451,IF(OR($E451="",$G451="",$H451="",$L451=""),"",($G451-$E451)*IF($C451="فروش",-1,1)*$H451*IF($M451="BASE",$L451/$G451,$L451)))</f>
        <v/>
      </c>
      <c r="P451" s="22">
        <f>IF($O451="","",$O451-N($I451))</f>
        <v/>
      </c>
      <c r="Q451" s="23">
        <f>IF(OR($P451="",$N451="",$N451=0),"",$P451/$N451)</f>
        <v/>
      </c>
      <c r="R451" s="21">
        <f>IF($P451="","",IF($P451&gt;0,"برد",IF($P451&lt;0,"باخت","سر به سر")))</f>
        <v/>
      </c>
      <c r="S451" s="22">
        <f>IF($P451="","",SUM($P$5:$P451))</f>
        <v/>
      </c>
      <c r="T451" s="24">
        <f>IF($R451="باخت",N($T450)+1,0)</f>
        <v/>
      </c>
      <c r="U451" s="22">
        <f>IF($S451="","",$S451-MAX($S$5:$S451))</f>
        <v/>
      </c>
    </row>
    <row r="452">
      <c r="A452" s="14" t="n"/>
      <c r="B452" s="15" t="n"/>
      <c r="C452" s="15" t="n"/>
      <c r="D452" s="15" t="n"/>
      <c r="E452" s="16" t="n"/>
      <c r="F452" s="16" t="n"/>
      <c r="G452" s="16" t="n"/>
      <c r="H452" s="17" t="n"/>
      <c r="I452" s="18" t="n"/>
      <c r="J452" s="18" t="n"/>
      <c r="K452" s="19" t="n"/>
      <c r="L452" s="20">
        <f>IF($B452="","",IFERROR(VLOOKUP($B452,'تنظیمات'!$A$4:$C$43,2,FALSE),1))</f>
        <v/>
      </c>
      <c r="M452" s="21">
        <f>IF($B452="","",IFERROR(VLOOKUP($B452,'تنظیمات'!$A$4:$C$43,3,FALSE),"USD"))</f>
        <v/>
      </c>
      <c r="N452" s="22">
        <f>IF(OR($E452="",$F452="",$H452="",$L452=""),"",ABS($E452-$F452)*$H452*IF($M452="BASE",$L452/$E452,$L452))</f>
        <v/>
      </c>
      <c r="O452" s="22">
        <f>IF($J452&lt;&gt;"",$J452,IF(OR($E452="",$G452="",$H452="",$L452=""),"",($G452-$E452)*IF($C452="فروش",-1,1)*$H452*IF($M452="BASE",$L452/$G452,$L452)))</f>
        <v/>
      </c>
      <c r="P452" s="22">
        <f>IF($O452="","",$O452-N($I452))</f>
        <v/>
      </c>
      <c r="Q452" s="23">
        <f>IF(OR($P452="",$N452="",$N452=0),"",$P452/$N452)</f>
        <v/>
      </c>
      <c r="R452" s="21">
        <f>IF($P452="","",IF($P452&gt;0,"برد",IF($P452&lt;0,"باخت","سر به سر")))</f>
        <v/>
      </c>
      <c r="S452" s="22">
        <f>IF($P452="","",SUM($P$5:$P452))</f>
        <v/>
      </c>
      <c r="T452" s="24">
        <f>IF($R452="باخت",N($T451)+1,0)</f>
        <v/>
      </c>
      <c r="U452" s="22">
        <f>IF($S452="","",$S452-MAX($S$5:$S452))</f>
        <v/>
      </c>
    </row>
    <row r="453">
      <c r="A453" s="14" t="n"/>
      <c r="B453" s="15" t="n"/>
      <c r="C453" s="15" t="n"/>
      <c r="D453" s="15" t="n"/>
      <c r="E453" s="16" t="n"/>
      <c r="F453" s="16" t="n"/>
      <c r="G453" s="16" t="n"/>
      <c r="H453" s="17" t="n"/>
      <c r="I453" s="18" t="n"/>
      <c r="J453" s="18" t="n"/>
      <c r="K453" s="19" t="n"/>
      <c r="L453" s="20">
        <f>IF($B453="","",IFERROR(VLOOKUP($B453,'تنظیمات'!$A$4:$C$43,2,FALSE),1))</f>
        <v/>
      </c>
      <c r="M453" s="21">
        <f>IF($B453="","",IFERROR(VLOOKUP($B453,'تنظیمات'!$A$4:$C$43,3,FALSE),"USD"))</f>
        <v/>
      </c>
      <c r="N453" s="22">
        <f>IF(OR($E453="",$F453="",$H453="",$L453=""),"",ABS($E453-$F453)*$H453*IF($M453="BASE",$L453/$E453,$L453))</f>
        <v/>
      </c>
      <c r="O453" s="22">
        <f>IF($J453&lt;&gt;"",$J453,IF(OR($E453="",$G453="",$H453="",$L453=""),"",($G453-$E453)*IF($C453="فروش",-1,1)*$H453*IF($M453="BASE",$L453/$G453,$L453)))</f>
        <v/>
      </c>
      <c r="P453" s="22">
        <f>IF($O453="","",$O453-N($I453))</f>
        <v/>
      </c>
      <c r="Q453" s="23">
        <f>IF(OR($P453="",$N453="",$N453=0),"",$P453/$N453)</f>
        <v/>
      </c>
      <c r="R453" s="21">
        <f>IF($P453="","",IF($P453&gt;0,"برد",IF($P453&lt;0,"باخت","سر به سر")))</f>
        <v/>
      </c>
      <c r="S453" s="22">
        <f>IF($P453="","",SUM($P$5:$P453))</f>
        <v/>
      </c>
      <c r="T453" s="24">
        <f>IF($R453="باخت",N($T452)+1,0)</f>
        <v/>
      </c>
      <c r="U453" s="22">
        <f>IF($S453="","",$S453-MAX($S$5:$S453))</f>
        <v/>
      </c>
    </row>
    <row r="454">
      <c r="A454" s="14" t="n"/>
      <c r="B454" s="15" t="n"/>
      <c r="C454" s="15" t="n"/>
      <c r="D454" s="15" t="n"/>
      <c r="E454" s="16" t="n"/>
      <c r="F454" s="16" t="n"/>
      <c r="G454" s="16" t="n"/>
      <c r="H454" s="17" t="n"/>
      <c r="I454" s="18" t="n"/>
      <c r="J454" s="18" t="n"/>
      <c r="K454" s="19" t="n"/>
      <c r="L454" s="20">
        <f>IF($B454="","",IFERROR(VLOOKUP($B454,'تنظیمات'!$A$4:$C$43,2,FALSE),1))</f>
        <v/>
      </c>
      <c r="M454" s="21">
        <f>IF($B454="","",IFERROR(VLOOKUP($B454,'تنظیمات'!$A$4:$C$43,3,FALSE),"USD"))</f>
        <v/>
      </c>
      <c r="N454" s="22">
        <f>IF(OR($E454="",$F454="",$H454="",$L454=""),"",ABS($E454-$F454)*$H454*IF($M454="BASE",$L454/$E454,$L454))</f>
        <v/>
      </c>
      <c r="O454" s="22">
        <f>IF($J454&lt;&gt;"",$J454,IF(OR($E454="",$G454="",$H454="",$L454=""),"",($G454-$E454)*IF($C454="فروش",-1,1)*$H454*IF($M454="BASE",$L454/$G454,$L454)))</f>
        <v/>
      </c>
      <c r="P454" s="22">
        <f>IF($O454="","",$O454-N($I454))</f>
        <v/>
      </c>
      <c r="Q454" s="23">
        <f>IF(OR($P454="",$N454="",$N454=0),"",$P454/$N454)</f>
        <v/>
      </c>
      <c r="R454" s="21">
        <f>IF($P454="","",IF($P454&gt;0,"برد",IF($P454&lt;0,"باخت","سر به سر")))</f>
        <v/>
      </c>
      <c r="S454" s="22">
        <f>IF($P454="","",SUM($P$5:$P454))</f>
        <v/>
      </c>
      <c r="T454" s="24">
        <f>IF($R454="باخت",N($T453)+1,0)</f>
        <v/>
      </c>
      <c r="U454" s="22">
        <f>IF($S454="","",$S454-MAX($S$5:$S454))</f>
        <v/>
      </c>
    </row>
    <row r="455">
      <c r="A455" s="14" t="n"/>
      <c r="B455" s="15" t="n"/>
      <c r="C455" s="15" t="n"/>
      <c r="D455" s="15" t="n"/>
      <c r="E455" s="16" t="n"/>
      <c r="F455" s="16" t="n"/>
      <c r="G455" s="16" t="n"/>
      <c r="H455" s="17" t="n"/>
      <c r="I455" s="18" t="n"/>
      <c r="J455" s="18" t="n"/>
      <c r="K455" s="19" t="n"/>
      <c r="L455" s="20">
        <f>IF($B455="","",IFERROR(VLOOKUP($B455,'تنظیمات'!$A$4:$C$43,2,FALSE),1))</f>
        <v/>
      </c>
      <c r="M455" s="21">
        <f>IF($B455="","",IFERROR(VLOOKUP($B455,'تنظیمات'!$A$4:$C$43,3,FALSE),"USD"))</f>
        <v/>
      </c>
      <c r="N455" s="22">
        <f>IF(OR($E455="",$F455="",$H455="",$L455=""),"",ABS($E455-$F455)*$H455*IF($M455="BASE",$L455/$E455,$L455))</f>
        <v/>
      </c>
      <c r="O455" s="22">
        <f>IF($J455&lt;&gt;"",$J455,IF(OR($E455="",$G455="",$H455="",$L455=""),"",($G455-$E455)*IF($C455="فروش",-1,1)*$H455*IF($M455="BASE",$L455/$G455,$L455)))</f>
        <v/>
      </c>
      <c r="P455" s="22">
        <f>IF($O455="","",$O455-N($I455))</f>
        <v/>
      </c>
      <c r="Q455" s="23">
        <f>IF(OR($P455="",$N455="",$N455=0),"",$P455/$N455)</f>
        <v/>
      </c>
      <c r="R455" s="21">
        <f>IF($P455="","",IF($P455&gt;0,"برد",IF($P455&lt;0,"باخت","سر به سر")))</f>
        <v/>
      </c>
      <c r="S455" s="22">
        <f>IF($P455="","",SUM($P$5:$P455))</f>
        <v/>
      </c>
      <c r="T455" s="24">
        <f>IF($R455="باخت",N($T454)+1,0)</f>
        <v/>
      </c>
      <c r="U455" s="22">
        <f>IF($S455="","",$S455-MAX($S$5:$S455))</f>
        <v/>
      </c>
    </row>
    <row r="456">
      <c r="A456" s="14" t="n"/>
      <c r="B456" s="15" t="n"/>
      <c r="C456" s="15" t="n"/>
      <c r="D456" s="15" t="n"/>
      <c r="E456" s="16" t="n"/>
      <c r="F456" s="16" t="n"/>
      <c r="G456" s="16" t="n"/>
      <c r="H456" s="17" t="n"/>
      <c r="I456" s="18" t="n"/>
      <c r="J456" s="18" t="n"/>
      <c r="K456" s="19" t="n"/>
      <c r="L456" s="20">
        <f>IF($B456="","",IFERROR(VLOOKUP($B456,'تنظیمات'!$A$4:$C$43,2,FALSE),1))</f>
        <v/>
      </c>
      <c r="M456" s="21">
        <f>IF($B456="","",IFERROR(VLOOKUP($B456,'تنظیمات'!$A$4:$C$43,3,FALSE),"USD"))</f>
        <v/>
      </c>
      <c r="N456" s="22">
        <f>IF(OR($E456="",$F456="",$H456="",$L456=""),"",ABS($E456-$F456)*$H456*IF($M456="BASE",$L456/$E456,$L456))</f>
        <v/>
      </c>
      <c r="O456" s="22">
        <f>IF($J456&lt;&gt;"",$J456,IF(OR($E456="",$G456="",$H456="",$L456=""),"",($G456-$E456)*IF($C456="فروش",-1,1)*$H456*IF($M456="BASE",$L456/$G456,$L456)))</f>
        <v/>
      </c>
      <c r="P456" s="22">
        <f>IF($O456="","",$O456-N($I456))</f>
        <v/>
      </c>
      <c r="Q456" s="23">
        <f>IF(OR($P456="",$N456="",$N456=0),"",$P456/$N456)</f>
        <v/>
      </c>
      <c r="R456" s="21">
        <f>IF($P456="","",IF($P456&gt;0,"برد",IF($P456&lt;0,"باخت","سر به سر")))</f>
        <v/>
      </c>
      <c r="S456" s="22">
        <f>IF($P456="","",SUM($P$5:$P456))</f>
        <v/>
      </c>
      <c r="T456" s="24">
        <f>IF($R456="باخت",N($T455)+1,0)</f>
        <v/>
      </c>
      <c r="U456" s="22">
        <f>IF($S456="","",$S456-MAX($S$5:$S456))</f>
        <v/>
      </c>
    </row>
    <row r="457">
      <c r="A457" s="14" t="n"/>
      <c r="B457" s="15" t="n"/>
      <c r="C457" s="15" t="n"/>
      <c r="D457" s="15" t="n"/>
      <c r="E457" s="16" t="n"/>
      <c r="F457" s="16" t="n"/>
      <c r="G457" s="16" t="n"/>
      <c r="H457" s="17" t="n"/>
      <c r="I457" s="18" t="n"/>
      <c r="J457" s="18" t="n"/>
      <c r="K457" s="19" t="n"/>
      <c r="L457" s="20">
        <f>IF($B457="","",IFERROR(VLOOKUP($B457,'تنظیمات'!$A$4:$C$43,2,FALSE),1))</f>
        <v/>
      </c>
      <c r="M457" s="21">
        <f>IF($B457="","",IFERROR(VLOOKUP($B457,'تنظیمات'!$A$4:$C$43,3,FALSE),"USD"))</f>
        <v/>
      </c>
      <c r="N457" s="22">
        <f>IF(OR($E457="",$F457="",$H457="",$L457=""),"",ABS($E457-$F457)*$H457*IF($M457="BASE",$L457/$E457,$L457))</f>
        <v/>
      </c>
      <c r="O457" s="22">
        <f>IF($J457&lt;&gt;"",$J457,IF(OR($E457="",$G457="",$H457="",$L457=""),"",($G457-$E457)*IF($C457="فروش",-1,1)*$H457*IF($M457="BASE",$L457/$G457,$L457)))</f>
        <v/>
      </c>
      <c r="P457" s="22">
        <f>IF($O457="","",$O457-N($I457))</f>
        <v/>
      </c>
      <c r="Q457" s="23">
        <f>IF(OR($P457="",$N457="",$N457=0),"",$P457/$N457)</f>
        <v/>
      </c>
      <c r="R457" s="21">
        <f>IF($P457="","",IF($P457&gt;0,"برد",IF($P457&lt;0,"باخت","سر به سر")))</f>
        <v/>
      </c>
      <c r="S457" s="22">
        <f>IF($P457="","",SUM($P$5:$P457))</f>
        <v/>
      </c>
      <c r="T457" s="24">
        <f>IF($R457="باخت",N($T456)+1,0)</f>
        <v/>
      </c>
      <c r="U457" s="22">
        <f>IF($S457="","",$S457-MAX($S$5:$S457))</f>
        <v/>
      </c>
    </row>
    <row r="458">
      <c r="A458" s="14" t="n"/>
      <c r="B458" s="15" t="n"/>
      <c r="C458" s="15" t="n"/>
      <c r="D458" s="15" t="n"/>
      <c r="E458" s="16" t="n"/>
      <c r="F458" s="16" t="n"/>
      <c r="G458" s="16" t="n"/>
      <c r="H458" s="17" t="n"/>
      <c r="I458" s="18" t="n"/>
      <c r="J458" s="18" t="n"/>
      <c r="K458" s="19" t="n"/>
      <c r="L458" s="20">
        <f>IF($B458="","",IFERROR(VLOOKUP($B458,'تنظیمات'!$A$4:$C$43,2,FALSE),1))</f>
        <v/>
      </c>
      <c r="M458" s="21">
        <f>IF($B458="","",IFERROR(VLOOKUP($B458,'تنظیمات'!$A$4:$C$43,3,FALSE),"USD"))</f>
        <v/>
      </c>
      <c r="N458" s="22">
        <f>IF(OR($E458="",$F458="",$H458="",$L458=""),"",ABS($E458-$F458)*$H458*IF($M458="BASE",$L458/$E458,$L458))</f>
        <v/>
      </c>
      <c r="O458" s="22">
        <f>IF($J458&lt;&gt;"",$J458,IF(OR($E458="",$G458="",$H458="",$L458=""),"",($G458-$E458)*IF($C458="فروش",-1,1)*$H458*IF($M458="BASE",$L458/$G458,$L458)))</f>
        <v/>
      </c>
      <c r="P458" s="22">
        <f>IF($O458="","",$O458-N($I458))</f>
        <v/>
      </c>
      <c r="Q458" s="23">
        <f>IF(OR($P458="",$N458="",$N458=0),"",$P458/$N458)</f>
        <v/>
      </c>
      <c r="R458" s="21">
        <f>IF($P458="","",IF($P458&gt;0,"برد",IF($P458&lt;0,"باخت","سر به سر")))</f>
        <v/>
      </c>
      <c r="S458" s="22">
        <f>IF($P458="","",SUM($P$5:$P458))</f>
        <v/>
      </c>
      <c r="T458" s="24">
        <f>IF($R458="باخت",N($T457)+1,0)</f>
        <v/>
      </c>
      <c r="U458" s="22">
        <f>IF($S458="","",$S458-MAX($S$5:$S458))</f>
        <v/>
      </c>
    </row>
    <row r="459">
      <c r="A459" s="14" t="n"/>
      <c r="B459" s="15" t="n"/>
      <c r="C459" s="15" t="n"/>
      <c r="D459" s="15" t="n"/>
      <c r="E459" s="16" t="n"/>
      <c r="F459" s="16" t="n"/>
      <c r="G459" s="16" t="n"/>
      <c r="H459" s="17" t="n"/>
      <c r="I459" s="18" t="n"/>
      <c r="J459" s="18" t="n"/>
      <c r="K459" s="19" t="n"/>
      <c r="L459" s="20">
        <f>IF($B459="","",IFERROR(VLOOKUP($B459,'تنظیمات'!$A$4:$C$43,2,FALSE),1))</f>
        <v/>
      </c>
      <c r="M459" s="21">
        <f>IF($B459="","",IFERROR(VLOOKUP($B459,'تنظیمات'!$A$4:$C$43,3,FALSE),"USD"))</f>
        <v/>
      </c>
      <c r="N459" s="22">
        <f>IF(OR($E459="",$F459="",$H459="",$L459=""),"",ABS($E459-$F459)*$H459*IF($M459="BASE",$L459/$E459,$L459))</f>
        <v/>
      </c>
      <c r="O459" s="22">
        <f>IF($J459&lt;&gt;"",$J459,IF(OR($E459="",$G459="",$H459="",$L459=""),"",($G459-$E459)*IF($C459="فروش",-1,1)*$H459*IF($M459="BASE",$L459/$G459,$L459)))</f>
        <v/>
      </c>
      <c r="P459" s="22">
        <f>IF($O459="","",$O459-N($I459))</f>
        <v/>
      </c>
      <c r="Q459" s="23">
        <f>IF(OR($P459="",$N459="",$N459=0),"",$P459/$N459)</f>
        <v/>
      </c>
      <c r="R459" s="21">
        <f>IF($P459="","",IF($P459&gt;0,"برد",IF($P459&lt;0,"باخت","سر به سر")))</f>
        <v/>
      </c>
      <c r="S459" s="22">
        <f>IF($P459="","",SUM($P$5:$P459))</f>
        <v/>
      </c>
      <c r="T459" s="24">
        <f>IF($R459="باخت",N($T458)+1,0)</f>
        <v/>
      </c>
      <c r="U459" s="22">
        <f>IF($S459="","",$S459-MAX($S$5:$S459))</f>
        <v/>
      </c>
    </row>
    <row r="460">
      <c r="A460" s="14" t="n"/>
      <c r="B460" s="15" t="n"/>
      <c r="C460" s="15" t="n"/>
      <c r="D460" s="15" t="n"/>
      <c r="E460" s="16" t="n"/>
      <c r="F460" s="16" t="n"/>
      <c r="G460" s="16" t="n"/>
      <c r="H460" s="17" t="n"/>
      <c r="I460" s="18" t="n"/>
      <c r="J460" s="18" t="n"/>
      <c r="K460" s="19" t="n"/>
      <c r="L460" s="20">
        <f>IF($B460="","",IFERROR(VLOOKUP($B460,'تنظیمات'!$A$4:$C$43,2,FALSE),1))</f>
        <v/>
      </c>
      <c r="M460" s="21">
        <f>IF($B460="","",IFERROR(VLOOKUP($B460,'تنظیمات'!$A$4:$C$43,3,FALSE),"USD"))</f>
        <v/>
      </c>
      <c r="N460" s="22">
        <f>IF(OR($E460="",$F460="",$H460="",$L460=""),"",ABS($E460-$F460)*$H460*IF($M460="BASE",$L460/$E460,$L460))</f>
        <v/>
      </c>
      <c r="O460" s="22">
        <f>IF($J460&lt;&gt;"",$J460,IF(OR($E460="",$G460="",$H460="",$L460=""),"",($G460-$E460)*IF($C460="فروش",-1,1)*$H460*IF($M460="BASE",$L460/$G460,$L460)))</f>
        <v/>
      </c>
      <c r="P460" s="22">
        <f>IF($O460="","",$O460-N($I460))</f>
        <v/>
      </c>
      <c r="Q460" s="23">
        <f>IF(OR($P460="",$N460="",$N460=0),"",$P460/$N460)</f>
        <v/>
      </c>
      <c r="R460" s="21">
        <f>IF($P460="","",IF($P460&gt;0,"برد",IF($P460&lt;0,"باخت","سر به سر")))</f>
        <v/>
      </c>
      <c r="S460" s="22">
        <f>IF($P460="","",SUM($P$5:$P460))</f>
        <v/>
      </c>
      <c r="T460" s="24">
        <f>IF($R460="باخت",N($T459)+1,0)</f>
        <v/>
      </c>
      <c r="U460" s="22">
        <f>IF($S460="","",$S460-MAX($S$5:$S460))</f>
        <v/>
      </c>
    </row>
    <row r="461">
      <c r="A461" s="14" t="n"/>
      <c r="B461" s="15" t="n"/>
      <c r="C461" s="15" t="n"/>
      <c r="D461" s="15" t="n"/>
      <c r="E461" s="16" t="n"/>
      <c r="F461" s="16" t="n"/>
      <c r="G461" s="16" t="n"/>
      <c r="H461" s="17" t="n"/>
      <c r="I461" s="18" t="n"/>
      <c r="J461" s="18" t="n"/>
      <c r="K461" s="19" t="n"/>
      <c r="L461" s="20">
        <f>IF($B461="","",IFERROR(VLOOKUP($B461,'تنظیمات'!$A$4:$C$43,2,FALSE),1))</f>
        <v/>
      </c>
      <c r="M461" s="21">
        <f>IF($B461="","",IFERROR(VLOOKUP($B461,'تنظیمات'!$A$4:$C$43,3,FALSE),"USD"))</f>
        <v/>
      </c>
      <c r="N461" s="22">
        <f>IF(OR($E461="",$F461="",$H461="",$L461=""),"",ABS($E461-$F461)*$H461*IF($M461="BASE",$L461/$E461,$L461))</f>
        <v/>
      </c>
      <c r="O461" s="22">
        <f>IF($J461&lt;&gt;"",$J461,IF(OR($E461="",$G461="",$H461="",$L461=""),"",($G461-$E461)*IF($C461="فروش",-1,1)*$H461*IF($M461="BASE",$L461/$G461,$L461)))</f>
        <v/>
      </c>
      <c r="P461" s="22">
        <f>IF($O461="","",$O461-N($I461))</f>
        <v/>
      </c>
      <c r="Q461" s="23">
        <f>IF(OR($P461="",$N461="",$N461=0),"",$P461/$N461)</f>
        <v/>
      </c>
      <c r="R461" s="21">
        <f>IF($P461="","",IF($P461&gt;0,"برد",IF($P461&lt;0,"باخت","سر به سر")))</f>
        <v/>
      </c>
      <c r="S461" s="22">
        <f>IF($P461="","",SUM($P$5:$P461))</f>
        <v/>
      </c>
      <c r="T461" s="24">
        <f>IF($R461="باخت",N($T460)+1,0)</f>
        <v/>
      </c>
      <c r="U461" s="22">
        <f>IF($S461="","",$S461-MAX($S$5:$S461))</f>
        <v/>
      </c>
    </row>
    <row r="462">
      <c r="A462" s="14" t="n"/>
      <c r="B462" s="15" t="n"/>
      <c r="C462" s="15" t="n"/>
      <c r="D462" s="15" t="n"/>
      <c r="E462" s="16" t="n"/>
      <c r="F462" s="16" t="n"/>
      <c r="G462" s="16" t="n"/>
      <c r="H462" s="17" t="n"/>
      <c r="I462" s="18" t="n"/>
      <c r="J462" s="18" t="n"/>
      <c r="K462" s="19" t="n"/>
      <c r="L462" s="20">
        <f>IF($B462="","",IFERROR(VLOOKUP($B462,'تنظیمات'!$A$4:$C$43,2,FALSE),1))</f>
        <v/>
      </c>
      <c r="M462" s="21">
        <f>IF($B462="","",IFERROR(VLOOKUP($B462,'تنظیمات'!$A$4:$C$43,3,FALSE),"USD"))</f>
        <v/>
      </c>
      <c r="N462" s="22">
        <f>IF(OR($E462="",$F462="",$H462="",$L462=""),"",ABS($E462-$F462)*$H462*IF($M462="BASE",$L462/$E462,$L462))</f>
        <v/>
      </c>
      <c r="O462" s="22">
        <f>IF($J462&lt;&gt;"",$J462,IF(OR($E462="",$G462="",$H462="",$L462=""),"",($G462-$E462)*IF($C462="فروش",-1,1)*$H462*IF($M462="BASE",$L462/$G462,$L462)))</f>
        <v/>
      </c>
      <c r="P462" s="22">
        <f>IF($O462="","",$O462-N($I462))</f>
        <v/>
      </c>
      <c r="Q462" s="23">
        <f>IF(OR($P462="",$N462="",$N462=0),"",$P462/$N462)</f>
        <v/>
      </c>
      <c r="R462" s="21">
        <f>IF($P462="","",IF($P462&gt;0,"برد",IF($P462&lt;0,"باخت","سر به سر")))</f>
        <v/>
      </c>
      <c r="S462" s="22">
        <f>IF($P462="","",SUM($P$5:$P462))</f>
        <v/>
      </c>
      <c r="T462" s="24">
        <f>IF($R462="باخت",N($T461)+1,0)</f>
        <v/>
      </c>
      <c r="U462" s="22">
        <f>IF($S462="","",$S462-MAX($S$5:$S462))</f>
        <v/>
      </c>
    </row>
    <row r="463">
      <c r="A463" s="14" t="n"/>
      <c r="B463" s="15" t="n"/>
      <c r="C463" s="15" t="n"/>
      <c r="D463" s="15" t="n"/>
      <c r="E463" s="16" t="n"/>
      <c r="F463" s="16" t="n"/>
      <c r="G463" s="16" t="n"/>
      <c r="H463" s="17" t="n"/>
      <c r="I463" s="18" t="n"/>
      <c r="J463" s="18" t="n"/>
      <c r="K463" s="19" t="n"/>
      <c r="L463" s="20">
        <f>IF($B463="","",IFERROR(VLOOKUP($B463,'تنظیمات'!$A$4:$C$43,2,FALSE),1))</f>
        <v/>
      </c>
      <c r="M463" s="21">
        <f>IF($B463="","",IFERROR(VLOOKUP($B463,'تنظیمات'!$A$4:$C$43,3,FALSE),"USD"))</f>
        <v/>
      </c>
      <c r="N463" s="22">
        <f>IF(OR($E463="",$F463="",$H463="",$L463=""),"",ABS($E463-$F463)*$H463*IF($M463="BASE",$L463/$E463,$L463))</f>
        <v/>
      </c>
      <c r="O463" s="22">
        <f>IF($J463&lt;&gt;"",$J463,IF(OR($E463="",$G463="",$H463="",$L463=""),"",($G463-$E463)*IF($C463="فروش",-1,1)*$H463*IF($M463="BASE",$L463/$G463,$L463)))</f>
        <v/>
      </c>
      <c r="P463" s="22">
        <f>IF($O463="","",$O463-N($I463))</f>
        <v/>
      </c>
      <c r="Q463" s="23">
        <f>IF(OR($P463="",$N463="",$N463=0),"",$P463/$N463)</f>
        <v/>
      </c>
      <c r="R463" s="21">
        <f>IF($P463="","",IF($P463&gt;0,"برد",IF($P463&lt;0,"باخت","سر به سر")))</f>
        <v/>
      </c>
      <c r="S463" s="22">
        <f>IF($P463="","",SUM($P$5:$P463))</f>
        <v/>
      </c>
      <c r="T463" s="24">
        <f>IF($R463="باخت",N($T462)+1,0)</f>
        <v/>
      </c>
      <c r="U463" s="22">
        <f>IF($S463="","",$S463-MAX($S$5:$S463))</f>
        <v/>
      </c>
    </row>
    <row r="464">
      <c r="A464" s="14" t="n"/>
      <c r="B464" s="15" t="n"/>
      <c r="C464" s="15" t="n"/>
      <c r="D464" s="15" t="n"/>
      <c r="E464" s="16" t="n"/>
      <c r="F464" s="16" t="n"/>
      <c r="G464" s="16" t="n"/>
      <c r="H464" s="17" t="n"/>
      <c r="I464" s="18" t="n"/>
      <c r="J464" s="18" t="n"/>
      <c r="K464" s="19" t="n"/>
      <c r="L464" s="20">
        <f>IF($B464="","",IFERROR(VLOOKUP($B464,'تنظیمات'!$A$4:$C$43,2,FALSE),1))</f>
        <v/>
      </c>
      <c r="M464" s="21">
        <f>IF($B464="","",IFERROR(VLOOKUP($B464,'تنظیمات'!$A$4:$C$43,3,FALSE),"USD"))</f>
        <v/>
      </c>
      <c r="N464" s="22">
        <f>IF(OR($E464="",$F464="",$H464="",$L464=""),"",ABS($E464-$F464)*$H464*IF($M464="BASE",$L464/$E464,$L464))</f>
        <v/>
      </c>
      <c r="O464" s="22">
        <f>IF($J464&lt;&gt;"",$J464,IF(OR($E464="",$G464="",$H464="",$L464=""),"",($G464-$E464)*IF($C464="فروش",-1,1)*$H464*IF($M464="BASE",$L464/$G464,$L464)))</f>
        <v/>
      </c>
      <c r="P464" s="22">
        <f>IF($O464="","",$O464-N($I464))</f>
        <v/>
      </c>
      <c r="Q464" s="23">
        <f>IF(OR($P464="",$N464="",$N464=0),"",$P464/$N464)</f>
        <v/>
      </c>
      <c r="R464" s="21">
        <f>IF($P464="","",IF($P464&gt;0,"برد",IF($P464&lt;0,"باخت","سر به سر")))</f>
        <v/>
      </c>
      <c r="S464" s="22">
        <f>IF($P464="","",SUM($P$5:$P464))</f>
        <v/>
      </c>
      <c r="T464" s="24">
        <f>IF($R464="باخت",N($T463)+1,0)</f>
        <v/>
      </c>
      <c r="U464" s="22">
        <f>IF($S464="","",$S464-MAX($S$5:$S464))</f>
        <v/>
      </c>
    </row>
    <row r="465">
      <c r="A465" s="14" t="n"/>
      <c r="B465" s="15" t="n"/>
      <c r="C465" s="15" t="n"/>
      <c r="D465" s="15" t="n"/>
      <c r="E465" s="16" t="n"/>
      <c r="F465" s="16" t="n"/>
      <c r="G465" s="16" t="n"/>
      <c r="H465" s="17" t="n"/>
      <c r="I465" s="18" t="n"/>
      <c r="J465" s="18" t="n"/>
      <c r="K465" s="19" t="n"/>
      <c r="L465" s="20">
        <f>IF($B465="","",IFERROR(VLOOKUP($B465,'تنظیمات'!$A$4:$C$43,2,FALSE),1))</f>
        <v/>
      </c>
      <c r="M465" s="21">
        <f>IF($B465="","",IFERROR(VLOOKUP($B465,'تنظیمات'!$A$4:$C$43,3,FALSE),"USD"))</f>
        <v/>
      </c>
      <c r="N465" s="22">
        <f>IF(OR($E465="",$F465="",$H465="",$L465=""),"",ABS($E465-$F465)*$H465*IF($M465="BASE",$L465/$E465,$L465))</f>
        <v/>
      </c>
      <c r="O465" s="22">
        <f>IF($J465&lt;&gt;"",$J465,IF(OR($E465="",$G465="",$H465="",$L465=""),"",($G465-$E465)*IF($C465="فروش",-1,1)*$H465*IF($M465="BASE",$L465/$G465,$L465)))</f>
        <v/>
      </c>
      <c r="P465" s="22">
        <f>IF($O465="","",$O465-N($I465))</f>
        <v/>
      </c>
      <c r="Q465" s="23">
        <f>IF(OR($P465="",$N465="",$N465=0),"",$P465/$N465)</f>
        <v/>
      </c>
      <c r="R465" s="21">
        <f>IF($P465="","",IF($P465&gt;0,"برد",IF($P465&lt;0,"باخت","سر به سر")))</f>
        <v/>
      </c>
      <c r="S465" s="22">
        <f>IF($P465="","",SUM($P$5:$P465))</f>
        <v/>
      </c>
      <c r="T465" s="24">
        <f>IF($R465="باخت",N($T464)+1,0)</f>
        <v/>
      </c>
      <c r="U465" s="22">
        <f>IF($S465="","",$S465-MAX($S$5:$S465))</f>
        <v/>
      </c>
    </row>
    <row r="466">
      <c r="A466" s="14" t="n"/>
      <c r="B466" s="15" t="n"/>
      <c r="C466" s="15" t="n"/>
      <c r="D466" s="15" t="n"/>
      <c r="E466" s="16" t="n"/>
      <c r="F466" s="16" t="n"/>
      <c r="G466" s="16" t="n"/>
      <c r="H466" s="17" t="n"/>
      <c r="I466" s="18" t="n"/>
      <c r="J466" s="18" t="n"/>
      <c r="K466" s="19" t="n"/>
      <c r="L466" s="20">
        <f>IF($B466="","",IFERROR(VLOOKUP($B466,'تنظیمات'!$A$4:$C$43,2,FALSE),1))</f>
        <v/>
      </c>
      <c r="M466" s="21">
        <f>IF($B466="","",IFERROR(VLOOKUP($B466,'تنظیمات'!$A$4:$C$43,3,FALSE),"USD"))</f>
        <v/>
      </c>
      <c r="N466" s="22">
        <f>IF(OR($E466="",$F466="",$H466="",$L466=""),"",ABS($E466-$F466)*$H466*IF($M466="BASE",$L466/$E466,$L466))</f>
        <v/>
      </c>
      <c r="O466" s="22">
        <f>IF($J466&lt;&gt;"",$J466,IF(OR($E466="",$G466="",$H466="",$L466=""),"",($G466-$E466)*IF($C466="فروش",-1,1)*$H466*IF($M466="BASE",$L466/$G466,$L466)))</f>
        <v/>
      </c>
      <c r="P466" s="22">
        <f>IF($O466="","",$O466-N($I466))</f>
        <v/>
      </c>
      <c r="Q466" s="23">
        <f>IF(OR($P466="",$N466="",$N466=0),"",$P466/$N466)</f>
        <v/>
      </c>
      <c r="R466" s="21">
        <f>IF($P466="","",IF($P466&gt;0,"برد",IF($P466&lt;0,"باخت","سر به سر")))</f>
        <v/>
      </c>
      <c r="S466" s="22">
        <f>IF($P466="","",SUM($P$5:$P466))</f>
        <v/>
      </c>
      <c r="T466" s="24">
        <f>IF($R466="باخت",N($T465)+1,0)</f>
        <v/>
      </c>
      <c r="U466" s="22">
        <f>IF($S466="","",$S466-MAX($S$5:$S466))</f>
        <v/>
      </c>
    </row>
    <row r="467">
      <c r="A467" s="14" t="n"/>
      <c r="B467" s="15" t="n"/>
      <c r="C467" s="15" t="n"/>
      <c r="D467" s="15" t="n"/>
      <c r="E467" s="16" t="n"/>
      <c r="F467" s="16" t="n"/>
      <c r="G467" s="16" t="n"/>
      <c r="H467" s="17" t="n"/>
      <c r="I467" s="18" t="n"/>
      <c r="J467" s="18" t="n"/>
      <c r="K467" s="19" t="n"/>
      <c r="L467" s="20">
        <f>IF($B467="","",IFERROR(VLOOKUP($B467,'تنظیمات'!$A$4:$C$43,2,FALSE),1))</f>
        <v/>
      </c>
      <c r="M467" s="21">
        <f>IF($B467="","",IFERROR(VLOOKUP($B467,'تنظیمات'!$A$4:$C$43,3,FALSE),"USD"))</f>
        <v/>
      </c>
      <c r="N467" s="22">
        <f>IF(OR($E467="",$F467="",$H467="",$L467=""),"",ABS($E467-$F467)*$H467*IF($M467="BASE",$L467/$E467,$L467))</f>
        <v/>
      </c>
      <c r="O467" s="22">
        <f>IF($J467&lt;&gt;"",$J467,IF(OR($E467="",$G467="",$H467="",$L467=""),"",($G467-$E467)*IF($C467="فروش",-1,1)*$H467*IF($M467="BASE",$L467/$G467,$L467)))</f>
        <v/>
      </c>
      <c r="P467" s="22">
        <f>IF($O467="","",$O467-N($I467))</f>
        <v/>
      </c>
      <c r="Q467" s="23">
        <f>IF(OR($P467="",$N467="",$N467=0),"",$P467/$N467)</f>
        <v/>
      </c>
      <c r="R467" s="21">
        <f>IF($P467="","",IF($P467&gt;0,"برد",IF($P467&lt;0,"باخت","سر به سر")))</f>
        <v/>
      </c>
      <c r="S467" s="22">
        <f>IF($P467="","",SUM($P$5:$P467))</f>
        <v/>
      </c>
      <c r="T467" s="24">
        <f>IF($R467="باخت",N($T466)+1,0)</f>
        <v/>
      </c>
      <c r="U467" s="22">
        <f>IF($S467="","",$S467-MAX($S$5:$S467))</f>
        <v/>
      </c>
    </row>
    <row r="468">
      <c r="A468" s="14" t="n"/>
      <c r="B468" s="15" t="n"/>
      <c r="C468" s="15" t="n"/>
      <c r="D468" s="15" t="n"/>
      <c r="E468" s="16" t="n"/>
      <c r="F468" s="16" t="n"/>
      <c r="G468" s="16" t="n"/>
      <c r="H468" s="17" t="n"/>
      <c r="I468" s="18" t="n"/>
      <c r="J468" s="18" t="n"/>
      <c r="K468" s="19" t="n"/>
      <c r="L468" s="20">
        <f>IF($B468="","",IFERROR(VLOOKUP($B468,'تنظیمات'!$A$4:$C$43,2,FALSE),1))</f>
        <v/>
      </c>
      <c r="M468" s="21">
        <f>IF($B468="","",IFERROR(VLOOKUP($B468,'تنظیمات'!$A$4:$C$43,3,FALSE),"USD"))</f>
        <v/>
      </c>
      <c r="N468" s="22">
        <f>IF(OR($E468="",$F468="",$H468="",$L468=""),"",ABS($E468-$F468)*$H468*IF($M468="BASE",$L468/$E468,$L468))</f>
        <v/>
      </c>
      <c r="O468" s="22">
        <f>IF($J468&lt;&gt;"",$J468,IF(OR($E468="",$G468="",$H468="",$L468=""),"",($G468-$E468)*IF($C468="فروش",-1,1)*$H468*IF($M468="BASE",$L468/$G468,$L468)))</f>
        <v/>
      </c>
      <c r="P468" s="22">
        <f>IF($O468="","",$O468-N($I468))</f>
        <v/>
      </c>
      <c r="Q468" s="23">
        <f>IF(OR($P468="",$N468="",$N468=0),"",$P468/$N468)</f>
        <v/>
      </c>
      <c r="R468" s="21">
        <f>IF($P468="","",IF($P468&gt;0,"برد",IF($P468&lt;0,"باخت","سر به سر")))</f>
        <v/>
      </c>
      <c r="S468" s="22">
        <f>IF($P468="","",SUM($P$5:$P468))</f>
        <v/>
      </c>
      <c r="T468" s="24">
        <f>IF($R468="باخت",N($T467)+1,0)</f>
        <v/>
      </c>
      <c r="U468" s="22">
        <f>IF($S468="","",$S468-MAX($S$5:$S468))</f>
        <v/>
      </c>
    </row>
    <row r="469">
      <c r="A469" s="14" t="n"/>
      <c r="B469" s="15" t="n"/>
      <c r="C469" s="15" t="n"/>
      <c r="D469" s="15" t="n"/>
      <c r="E469" s="16" t="n"/>
      <c r="F469" s="16" t="n"/>
      <c r="G469" s="16" t="n"/>
      <c r="H469" s="17" t="n"/>
      <c r="I469" s="18" t="n"/>
      <c r="J469" s="18" t="n"/>
      <c r="K469" s="19" t="n"/>
      <c r="L469" s="20">
        <f>IF($B469="","",IFERROR(VLOOKUP($B469,'تنظیمات'!$A$4:$C$43,2,FALSE),1))</f>
        <v/>
      </c>
      <c r="M469" s="21">
        <f>IF($B469="","",IFERROR(VLOOKUP($B469,'تنظیمات'!$A$4:$C$43,3,FALSE),"USD"))</f>
        <v/>
      </c>
      <c r="N469" s="22">
        <f>IF(OR($E469="",$F469="",$H469="",$L469=""),"",ABS($E469-$F469)*$H469*IF($M469="BASE",$L469/$E469,$L469))</f>
        <v/>
      </c>
      <c r="O469" s="22">
        <f>IF($J469&lt;&gt;"",$J469,IF(OR($E469="",$G469="",$H469="",$L469=""),"",($G469-$E469)*IF($C469="فروش",-1,1)*$H469*IF($M469="BASE",$L469/$G469,$L469)))</f>
        <v/>
      </c>
      <c r="P469" s="22">
        <f>IF($O469="","",$O469-N($I469))</f>
        <v/>
      </c>
      <c r="Q469" s="23">
        <f>IF(OR($P469="",$N469="",$N469=0),"",$P469/$N469)</f>
        <v/>
      </c>
      <c r="R469" s="21">
        <f>IF($P469="","",IF($P469&gt;0,"برد",IF($P469&lt;0,"باخت","سر به سر")))</f>
        <v/>
      </c>
      <c r="S469" s="22">
        <f>IF($P469="","",SUM($P$5:$P469))</f>
        <v/>
      </c>
      <c r="T469" s="24">
        <f>IF($R469="باخت",N($T468)+1,0)</f>
        <v/>
      </c>
      <c r="U469" s="22">
        <f>IF($S469="","",$S469-MAX($S$5:$S469))</f>
        <v/>
      </c>
    </row>
    <row r="470">
      <c r="A470" s="14" t="n"/>
      <c r="B470" s="15" t="n"/>
      <c r="C470" s="15" t="n"/>
      <c r="D470" s="15" t="n"/>
      <c r="E470" s="16" t="n"/>
      <c r="F470" s="16" t="n"/>
      <c r="G470" s="16" t="n"/>
      <c r="H470" s="17" t="n"/>
      <c r="I470" s="18" t="n"/>
      <c r="J470" s="18" t="n"/>
      <c r="K470" s="19" t="n"/>
      <c r="L470" s="20">
        <f>IF($B470="","",IFERROR(VLOOKUP($B470,'تنظیمات'!$A$4:$C$43,2,FALSE),1))</f>
        <v/>
      </c>
      <c r="M470" s="21">
        <f>IF($B470="","",IFERROR(VLOOKUP($B470,'تنظیمات'!$A$4:$C$43,3,FALSE),"USD"))</f>
        <v/>
      </c>
      <c r="N470" s="22">
        <f>IF(OR($E470="",$F470="",$H470="",$L470=""),"",ABS($E470-$F470)*$H470*IF($M470="BASE",$L470/$E470,$L470))</f>
        <v/>
      </c>
      <c r="O470" s="22">
        <f>IF($J470&lt;&gt;"",$J470,IF(OR($E470="",$G470="",$H470="",$L470=""),"",($G470-$E470)*IF($C470="فروش",-1,1)*$H470*IF($M470="BASE",$L470/$G470,$L470)))</f>
        <v/>
      </c>
      <c r="P470" s="22">
        <f>IF($O470="","",$O470-N($I470))</f>
        <v/>
      </c>
      <c r="Q470" s="23">
        <f>IF(OR($P470="",$N470="",$N470=0),"",$P470/$N470)</f>
        <v/>
      </c>
      <c r="R470" s="21">
        <f>IF($P470="","",IF($P470&gt;0,"برد",IF($P470&lt;0,"باخت","سر به سر")))</f>
        <v/>
      </c>
      <c r="S470" s="22">
        <f>IF($P470="","",SUM($P$5:$P470))</f>
        <v/>
      </c>
      <c r="T470" s="24">
        <f>IF($R470="باخت",N($T469)+1,0)</f>
        <v/>
      </c>
      <c r="U470" s="22">
        <f>IF($S470="","",$S470-MAX($S$5:$S470))</f>
        <v/>
      </c>
    </row>
    <row r="471">
      <c r="A471" s="14" t="n"/>
      <c r="B471" s="15" t="n"/>
      <c r="C471" s="15" t="n"/>
      <c r="D471" s="15" t="n"/>
      <c r="E471" s="16" t="n"/>
      <c r="F471" s="16" t="n"/>
      <c r="G471" s="16" t="n"/>
      <c r="H471" s="17" t="n"/>
      <c r="I471" s="18" t="n"/>
      <c r="J471" s="18" t="n"/>
      <c r="K471" s="19" t="n"/>
      <c r="L471" s="20">
        <f>IF($B471="","",IFERROR(VLOOKUP($B471,'تنظیمات'!$A$4:$C$43,2,FALSE),1))</f>
        <v/>
      </c>
      <c r="M471" s="21">
        <f>IF($B471="","",IFERROR(VLOOKUP($B471,'تنظیمات'!$A$4:$C$43,3,FALSE),"USD"))</f>
        <v/>
      </c>
      <c r="N471" s="22">
        <f>IF(OR($E471="",$F471="",$H471="",$L471=""),"",ABS($E471-$F471)*$H471*IF($M471="BASE",$L471/$E471,$L471))</f>
        <v/>
      </c>
      <c r="O471" s="22">
        <f>IF($J471&lt;&gt;"",$J471,IF(OR($E471="",$G471="",$H471="",$L471=""),"",($G471-$E471)*IF($C471="فروش",-1,1)*$H471*IF($M471="BASE",$L471/$G471,$L471)))</f>
        <v/>
      </c>
      <c r="P471" s="22">
        <f>IF($O471="","",$O471-N($I471))</f>
        <v/>
      </c>
      <c r="Q471" s="23">
        <f>IF(OR($P471="",$N471="",$N471=0),"",$P471/$N471)</f>
        <v/>
      </c>
      <c r="R471" s="21">
        <f>IF($P471="","",IF($P471&gt;0,"برد",IF($P471&lt;0,"باخت","سر به سر")))</f>
        <v/>
      </c>
      <c r="S471" s="22">
        <f>IF($P471="","",SUM($P$5:$P471))</f>
        <v/>
      </c>
      <c r="T471" s="24">
        <f>IF($R471="باخت",N($T470)+1,0)</f>
        <v/>
      </c>
      <c r="U471" s="22">
        <f>IF($S471="","",$S471-MAX($S$5:$S471))</f>
        <v/>
      </c>
    </row>
    <row r="472">
      <c r="A472" s="14" t="n"/>
      <c r="B472" s="15" t="n"/>
      <c r="C472" s="15" t="n"/>
      <c r="D472" s="15" t="n"/>
      <c r="E472" s="16" t="n"/>
      <c r="F472" s="16" t="n"/>
      <c r="G472" s="16" t="n"/>
      <c r="H472" s="17" t="n"/>
      <c r="I472" s="18" t="n"/>
      <c r="J472" s="18" t="n"/>
      <c r="K472" s="19" t="n"/>
      <c r="L472" s="20">
        <f>IF($B472="","",IFERROR(VLOOKUP($B472,'تنظیمات'!$A$4:$C$43,2,FALSE),1))</f>
        <v/>
      </c>
      <c r="M472" s="21">
        <f>IF($B472="","",IFERROR(VLOOKUP($B472,'تنظیمات'!$A$4:$C$43,3,FALSE),"USD"))</f>
        <v/>
      </c>
      <c r="N472" s="22">
        <f>IF(OR($E472="",$F472="",$H472="",$L472=""),"",ABS($E472-$F472)*$H472*IF($M472="BASE",$L472/$E472,$L472))</f>
        <v/>
      </c>
      <c r="O472" s="22">
        <f>IF($J472&lt;&gt;"",$J472,IF(OR($E472="",$G472="",$H472="",$L472=""),"",($G472-$E472)*IF($C472="فروش",-1,1)*$H472*IF($M472="BASE",$L472/$G472,$L472)))</f>
        <v/>
      </c>
      <c r="P472" s="22">
        <f>IF($O472="","",$O472-N($I472))</f>
        <v/>
      </c>
      <c r="Q472" s="23">
        <f>IF(OR($P472="",$N472="",$N472=0),"",$P472/$N472)</f>
        <v/>
      </c>
      <c r="R472" s="21">
        <f>IF($P472="","",IF($P472&gt;0,"برد",IF($P472&lt;0,"باخت","سر به سر")))</f>
        <v/>
      </c>
      <c r="S472" s="22">
        <f>IF($P472="","",SUM($P$5:$P472))</f>
        <v/>
      </c>
      <c r="T472" s="24">
        <f>IF($R472="باخت",N($T471)+1,0)</f>
        <v/>
      </c>
      <c r="U472" s="22">
        <f>IF($S472="","",$S472-MAX($S$5:$S472))</f>
        <v/>
      </c>
    </row>
    <row r="473">
      <c r="A473" s="14" t="n"/>
      <c r="B473" s="15" t="n"/>
      <c r="C473" s="15" t="n"/>
      <c r="D473" s="15" t="n"/>
      <c r="E473" s="16" t="n"/>
      <c r="F473" s="16" t="n"/>
      <c r="G473" s="16" t="n"/>
      <c r="H473" s="17" t="n"/>
      <c r="I473" s="18" t="n"/>
      <c r="J473" s="18" t="n"/>
      <c r="K473" s="19" t="n"/>
      <c r="L473" s="20">
        <f>IF($B473="","",IFERROR(VLOOKUP($B473,'تنظیمات'!$A$4:$C$43,2,FALSE),1))</f>
        <v/>
      </c>
      <c r="M473" s="21">
        <f>IF($B473="","",IFERROR(VLOOKUP($B473,'تنظیمات'!$A$4:$C$43,3,FALSE),"USD"))</f>
        <v/>
      </c>
      <c r="N473" s="22">
        <f>IF(OR($E473="",$F473="",$H473="",$L473=""),"",ABS($E473-$F473)*$H473*IF($M473="BASE",$L473/$E473,$L473))</f>
        <v/>
      </c>
      <c r="O473" s="22">
        <f>IF($J473&lt;&gt;"",$J473,IF(OR($E473="",$G473="",$H473="",$L473=""),"",($G473-$E473)*IF($C473="فروش",-1,1)*$H473*IF($M473="BASE",$L473/$G473,$L473)))</f>
        <v/>
      </c>
      <c r="P473" s="22">
        <f>IF($O473="","",$O473-N($I473))</f>
        <v/>
      </c>
      <c r="Q473" s="23">
        <f>IF(OR($P473="",$N473="",$N473=0),"",$P473/$N473)</f>
        <v/>
      </c>
      <c r="R473" s="21">
        <f>IF($P473="","",IF($P473&gt;0,"برد",IF($P473&lt;0,"باخت","سر به سر")))</f>
        <v/>
      </c>
      <c r="S473" s="22">
        <f>IF($P473="","",SUM($P$5:$P473))</f>
        <v/>
      </c>
      <c r="T473" s="24">
        <f>IF($R473="باخت",N($T472)+1,0)</f>
        <v/>
      </c>
      <c r="U473" s="22">
        <f>IF($S473="","",$S473-MAX($S$5:$S473))</f>
        <v/>
      </c>
    </row>
    <row r="474">
      <c r="A474" s="14" t="n"/>
      <c r="B474" s="15" t="n"/>
      <c r="C474" s="15" t="n"/>
      <c r="D474" s="15" t="n"/>
      <c r="E474" s="16" t="n"/>
      <c r="F474" s="16" t="n"/>
      <c r="G474" s="16" t="n"/>
      <c r="H474" s="17" t="n"/>
      <c r="I474" s="18" t="n"/>
      <c r="J474" s="18" t="n"/>
      <c r="K474" s="19" t="n"/>
      <c r="L474" s="20">
        <f>IF($B474="","",IFERROR(VLOOKUP($B474,'تنظیمات'!$A$4:$C$43,2,FALSE),1))</f>
        <v/>
      </c>
      <c r="M474" s="21">
        <f>IF($B474="","",IFERROR(VLOOKUP($B474,'تنظیمات'!$A$4:$C$43,3,FALSE),"USD"))</f>
        <v/>
      </c>
      <c r="N474" s="22">
        <f>IF(OR($E474="",$F474="",$H474="",$L474=""),"",ABS($E474-$F474)*$H474*IF($M474="BASE",$L474/$E474,$L474))</f>
        <v/>
      </c>
      <c r="O474" s="22">
        <f>IF($J474&lt;&gt;"",$J474,IF(OR($E474="",$G474="",$H474="",$L474=""),"",($G474-$E474)*IF($C474="فروش",-1,1)*$H474*IF($M474="BASE",$L474/$G474,$L474)))</f>
        <v/>
      </c>
      <c r="P474" s="22">
        <f>IF($O474="","",$O474-N($I474))</f>
        <v/>
      </c>
      <c r="Q474" s="23">
        <f>IF(OR($P474="",$N474="",$N474=0),"",$P474/$N474)</f>
        <v/>
      </c>
      <c r="R474" s="21">
        <f>IF($P474="","",IF($P474&gt;0,"برد",IF($P474&lt;0,"باخت","سر به سر")))</f>
        <v/>
      </c>
      <c r="S474" s="22">
        <f>IF($P474="","",SUM($P$5:$P474))</f>
        <v/>
      </c>
      <c r="T474" s="24">
        <f>IF($R474="باخت",N($T473)+1,0)</f>
        <v/>
      </c>
      <c r="U474" s="22">
        <f>IF($S474="","",$S474-MAX($S$5:$S474))</f>
        <v/>
      </c>
    </row>
    <row r="475">
      <c r="A475" s="14" t="n"/>
      <c r="B475" s="15" t="n"/>
      <c r="C475" s="15" t="n"/>
      <c r="D475" s="15" t="n"/>
      <c r="E475" s="16" t="n"/>
      <c r="F475" s="16" t="n"/>
      <c r="G475" s="16" t="n"/>
      <c r="H475" s="17" t="n"/>
      <c r="I475" s="18" t="n"/>
      <c r="J475" s="18" t="n"/>
      <c r="K475" s="19" t="n"/>
      <c r="L475" s="20">
        <f>IF($B475="","",IFERROR(VLOOKUP($B475,'تنظیمات'!$A$4:$C$43,2,FALSE),1))</f>
        <v/>
      </c>
      <c r="M475" s="21">
        <f>IF($B475="","",IFERROR(VLOOKUP($B475,'تنظیمات'!$A$4:$C$43,3,FALSE),"USD"))</f>
        <v/>
      </c>
      <c r="N475" s="22">
        <f>IF(OR($E475="",$F475="",$H475="",$L475=""),"",ABS($E475-$F475)*$H475*IF($M475="BASE",$L475/$E475,$L475))</f>
        <v/>
      </c>
      <c r="O475" s="22">
        <f>IF($J475&lt;&gt;"",$J475,IF(OR($E475="",$G475="",$H475="",$L475=""),"",($G475-$E475)*IF($C475="فروش",-1,1)*$H475*IF($M475="BASE",$L475/$G475,$L475)))</f>
        <v/>
      </c>
      <c r="P475" s="22">
        <f>IF($O475="","",$O475-N($I475))</f>
        <v/>
      </c>
      <c r="Q475" s="23">
        <f>IF(OR($P475="",$N475="",$N475=0),"",$P475/$N475)</f>
        <v/>
      </c>
      <c r="R475" s="21">
        <f>IF($P475="","",IF($P475&gt;0,"برد",IF($P475&lt;0,"باخت","سر به سر")))</f>
        <v/>
      </c>
      <c r="S475" s="22">
        <f>IF($P475="","",SUM($P$5:$P475))</f>
        <v/>
      </c>
      <c r="T475" s="24">
        <f>IF($R475="باخت",N($T474)+1,0)</f>
        <v/>
      </c>
      <c r="U475" s="22">
        <f>IF($S475="","",$S475-MAX($S$5:$S475))</f>
        <v/>
      </c>
    </row>
    <row r="476">
      <c r="A476" s="14" t="n"/>
      <c r="B476" s="15" t="n"/>
      <c r="C476" s="15" t="n"/>
      <c r="D476" s="15" t="n"/>
      <c r="E476" s="16" t="n"/>
      <c r="F476" s="16" t="n"/>
      <c r="G476" s="16" t="n"/>
      <c r="H476" s="17" t="n"/>
      <c r="I476" s="18" t="n"/>
      <c r="J476" s="18" t="n"/>
      <c r="K476" s="19" t="n"/>
      <c r="L476" s="20">
        <f>IF($B476="","",IFERROR(VLOOKUP($B476,'تنظیمات'!$A$4:$C$43,2,FALSE),1))</f>
        <v/>
      </c>
      <c r="M476" s="21">
        <f>IF($B476="","",IFERROR(VLOOKUP($B476,'تنظیمات'!$A$4:$C$43,3,FALSE),"USD"))</f>
        <v/>
      </c>
      <c r="N476" s="22">
        <f>IF(OR($E476="",$F476="",$H476="",$L476=""),"",ABS($E476-$F476)*$H476*IF($M476="BASE",$L476/$E476,$L476))</f>
        <v/>
      </c>
      <c r="O476" s="22">
        <f>IF($J476&lt;&gt;"",$J476,IF(OR($E476="",$G476="",$H476="",$L476=""),"",($G476-$E476)*IF($C476="فروش",-1,1)*$H476*IF($M476="BASE",$L476/$G476,$L476)))</f>
        <v/>
      </c>
      <c r="P476" s="22">
        <f>IF($O476="","",$O476-N($I476))</f>
        <v/>
      </c>
      <c r="Q476" s="23">
        <f>IF(OR($P476="",$N476="",$N476=0),"",$P476/$N476)</f>
        <v/>
      </c>
      <c r="R476" s="21">
        <f>IF($P476="","",IF($P476&gt;0,"برد",IF($P476&lt;0,"باخت","سر به سر")))</f>
        <v/>
      </c>
      <c r="S476" s="22">
        <f>IF($P476="","",SUM($P$5:$P476))</f>
        <v/>
      </c>
      <c r="T476" s="24">
        <f>IF($R476="باخت",N($T475)+1,0)</f>
        <v/>
      </c>
      <c r="U476" s="22">
        <f>IF($S476="","",$S476-MAX($S$5:$S476))</f>
        <v/>
      </c>
    </row>
    <row r="477">
      <c r="A477" s="14" t="n"/>
      <c r="B477" s="15" t="n"/>
      <c r="C477" s="15" t="n"/>
      <c r="D477" s="15" t="n"/>
      <c r="E477" s="16" t="n"/>
      <c r="F477" s="16" t="n"/>
      <c r="G477" s="16" t="n"/>
      <c r="H477" s="17" t="n"/>
      <c r="I477" s="18" t="n"/>
      <c r="J477" s="18" t="n"/>
      <c r="K477" s="19" t="n"/>
      <c r="L477" s="20">
        <f>IF($B477="","",IFERROR(VLOOKUP($B477,'تنظیمات'!$A$4:$C$43,2,FALSE),1))</f>
        <v/>
      </c>
      <c r="M477" s="21">
        <f>IF($B477="","",IFERROR(VLOOKUP($B477,'تنظیمات'!$A$4:$C$43,3,FALSE),"USD"))</f>
        <v/>
      </c>
      <c r="N477" s="22">
        <f>IF(OR($E477="",$F477="",$H477="",$L477=""),"",ABS($E477-$F477)*$H477*IF($M477="BASE",$L477/$E477,$L477))</f>
        <v/>
      </c>
      <c r="O477" s="22">
        <f>IF($J477&lt;&gt;"",$J477,IF(OR($E477="",$G477="",$H477="",$L477=""),"",($G477-$E477)*IF($C477="فروش",-1,1)*$H477*IF($M477="BASE",$L477/$G477,$L477)))</f>
        <v/>
      </c>
      <c r="P477" s="22">
        <f>IF($O477="","",$O477-N($I477))</f>
        <v/>
      </c>
      <c r="Q477" s="23">
        <f>IF(OR($P477="",$N477="",$N477=0),"",$P477/$N477)</f>
        <v/>
      </c>
      <c r="R477" s="21">
        <f>IF($P477="","",IF($P477&gt;0,"برد",IF($P477&lt;0,"باخت","سر به سر")))</f>
        <v/>
      </c>
      <c r="S477" s="22">
        <f>IF($P477="","",SUM($P$5:$P477))</f>
        <v/>
      </c>
      <c r="T477" s="24">
        <f>IF($R477="باخت",N($T476)+1,0)</f>
        <v/>
      </c>
      <c r="U477" s="22">
        <f>IF($S477="","",$S477-MAX($S$5:$S477))</f>
        <v/>
      </c>
    </row>
    <row r="478">
      <c r="A478" s="14" t="n"/>
      <c r="B478" s="15" t="n"/>
      <c r="C478" s="15" t="n"/>
      <c r="D478" s="15" t="n"/>
      <c r="E478" s="16" t="n"/>
      <c r="F478" s="16" t="n"/>
      <c r="G478" s="16" t="n"/>
      <c r="H478" s="17" t="n"/>
      <c r="I478" s="18" t="n"/>
      <c r="J478" s="18" t="n"/>
      <c r="K478" s="19" t="n"/>
      <c r="L478" s="20">
        <f>IF($B478="","",IFERROR(VLOOKUP($B478,'تنظیمات'!$A$4:$C$43,2,FALSE),1))</f>
        <v/>
      </c>
      <c r="M478" s="21">
        <f>IF($B478="","",IFERROR(VLOOKUP($B478,'تنظیمات'!$A$4:$C$43,3,FALSE),"USD"))</f>
        <v/>
      </c>
      <c r="N478" s="22">
        <f>IF(OR($E478="",$F478="",$H478="",$L478=""),"",ABS($E478-$F478)*$H478*IF($M478="BASE",$L478/$E478,$L478))</f>
        <v/>
      </c>
      <c r="O478" s="22">
        <f>IF($J478&lt;&gt;"",$J478,IF(OR($E478="",$G478="",$H478="",$L478=""),"",($G478-$E478)*IF($C478="فروش",-1,1)*$H478*IF($M478="BASE",$L478/$G478,$L478)))</f>
        <v/>
      </c>
      <c r="P478" s="22">
        <f>IF($O478="","",$O478-N($I478))</f>
        <v/>
      </c>
      <c r="Q478" s="23">
        <f>IF(OR($P478="",$N478="",$N478=0),"",$P478/$N478)</f>
        <v/>
      </c>
      <c r="R478" s="21">
        <f>IF($P478="","",IF($P478&gt;0,"برد",IF($P478&lt;0,"باخت","سر به سر")))</f>
        <v/>
      </c>
      <c r="S478" s="22">
        <f>IF($P478="","",SUM($P$5:$P478))</f>
        <v/>
      </c>
      <c r="T478" s="24">
        <f>IF($R478="باخت",N($T477)+1,0)</f>
        <v/>
      </c>
      <c r="U478" s="22">
        <f>IF($S478="","",$S478-MAX($S$5:$S478))</f>
        <v/>
      </c>
    </row>
    <row r="479">
      <c r="A479" s="14" t="n"/>
      <c r="B479" s="15" t="n"/>
      <c r="C479" s="15" t="n"/>
      <c r="D479" s="15" t="n"/>
      <c r="E479" s="16" t="n"/>
      <c r="F479" s="16" t="n"/>
      <c r="G479" s="16" t="n"/>
      <c r="H479" s="17" t="n"/>
      <c r="I479" s="18" t="n"/>
      <c r="J479" s="18" t="n"/>
      <c r="K479" s="19" t="n"/>
      <c r="L479" s="20">
        <f>IF($B479="","",IFERROR(VLOOKUP($B479,'تنظیمات'!$A$4:$C$43,2,FALSE),1))</f>
        <v/>
      </c>
      <c r="M479" s="21">
        <f>IF($B479="","",IFERROR(VLOOKUP($B479,'تنظیمات'!$A$4:$C$43,3,FALSE),"USD"))</f>
        <v/>
      </c>
      <c r="N479" s="22">
        <f>IF(OR($E479="",$F479="",$H479="",$L479=""),"",ABS($E479-$F479)*$H479*IF($M479="BASE",$L479/$E479,$L479))</f>
        <v/>
      </c>
      <c r="O479" s="22">
        <f>IF($J479&lt;&gt;"",$J479,IF(OR($E479="",$G479="",$H479="",$L479=""),"",($G479-$E479)*IF($C479="فروش",-1,1)*$H479*IF($M479="BASE",$L479/$G479,$L479)))</f>
        <v/>
      </c>
      <c r="P479" s="22">
        <f>IF($O479="","",$O479-N($I479))</f>
        <v/>
      </c>
      <c r="Q479" s="23">
        <f>IF(OR($P479="",$N479="",$N479=0),"",$P479/$N479)</f>
        <v/>
      </c>
      <c r="R479" s="21">
        <f>IF($P479="","",IF($P479&gt;0,"برد",IF($P479&lt;0,"باخت","سر به سر")))</f>
        <v/>
      </c>
      <c r="S479" s="22">
        <f>IF($P479="","",SUM($P$5:$P479))</f>
        <v/>
      </c>
      <c r="T479" s="24">
        <f>IF($R479="باخت",N($T478)+1,0)</f>
        <v/>
      </c>
      <c r="U479" s="22">
        <f>IF($S479="","",$S479-MAX($S$5:$S479))</f>
        <v/>
      </c>
    </row>
    <row r="480">
      <c r="A480" s="14" t="n"/>
      <c r="B480" s="15" t="n"/>
      <c r="C480" s="15" t="n"/>
      <c r="D480" s="15" t="n"/>
      <c r="E480" s="16" t="n"/>
      <c r="F480" s="16" t="n"/>
      <c r="G480" s="16" t="n"/>
      <c r="H480" s="17" t="n"/>
      <c r="I480" s="18" t="n"/>
      <c r="J480" s="18" t="n"/>
      <c r="K480" s="19" t="n"/>
      <c r="L480" s="20">
        <f>IF($B480="","",IFERROR(VLOOKUP($B480,'تنظیمات'!$A$4:$C$43,2,FALSE),1))</f>
        <v/>
      </c>
      <c r="M480" s="21">
        <f>IF($B480="","",IFERROR(VLOOKUP($B480,'تنظیمات'!$A$4:$C$43,3,FALSE),"USD"))</f>
        <v/>
      </c>
      <c r="N480" s="22">
        <f>IF(OR($E480="",$F480="",$H480="",$L480=""),"",ABS($E480-$F480)*$H480*IF($M480="BASE",$L480/$E480,$L480))</f>
        <v/>
      </c>
      <c r="O480" s="22">
        <f>IF($J480&lt;&gt;"",$J480,IF(OR($E480="",$G480="",$H480="",$L480=""),"",($G480-$E480)*IF($C480="فروش",-1,1)*$H480*IF($M480="BASE",$L480/$G480,$L480)))</f>
        <v/>
      </c>
      <c r="P480" s="22">
        <f>IF($O480="","",$O480-N($I480))</f>
        <v/>
      </c>
      <c r="Q480" s="23">
        <f>IF(OR($P480="",$N480="",$N480=0),"",$P480/$N480)</f>
        <v/>
      </c>
      <c r="R480" s="21">
        <f>IF($P480="","",IF($P480&gt;0,"برد",IF($P480&lt;0,"باخت","سر به سر")))</f>
        <v/>
      </c>
      <c r="S480" s="22">
        <f>IF($P480="","",SUM($P$5:$P480))</f>
        <v/>
      </c>
      <c r="T480" s="24">
        <f>IF($R480="باخت",N($T479)+1,0)</f>
        <v/>
      </c>
      <c r="U480" s="22">
        <f>IF($S480="","",$S480-MAX($S$5:$S480))</f>
        <v/>
      </c>
    </row>
    <row r="481">
      <c r="A481" s="14" t="n"/>
      <c r="B481" s="15" t="n"/>
      <c r="C481" s="15" t="n"/>
      <c r="D481" s="15" t="n"/>
      <c r="E481" s="16" t="n"/>
      <c r="F481" s="16" t="n"/>
      <c r="G481" s="16" t="n"/>
      <c r="H481" s="17" t="n"/>
      <c r="I481" s="18" t="n"/>
      <c r="J481" s="18" t="n"/>
      <c r="K481" s="19" t="n"/>
      <c r="L481" s="20">
        <f>IF($B481="","",IFERROR(VLOOKUP($B481,'تنظیمات'!$A$4:$C$43,2,FALSE),1))</f>
        <v/>
      </c>
      <c r="M481" s="21">
        <f>IF($B481="","",IFERROR(VLOOKUP($B481,'تنظیمات'!$A$4:$C$43,3,FALSE),"USD"))</f>
        <v/>
      </c>
      <c r="N481" s="22">
        <f>IF(OR($E481="",$F481="",$H481="",$L481=""),"",ABS($E481-$F481)*$H481*IF($M481="BASE",$L481/$E481,$L481))</f>
        <v/>
      </c>
      <c r="O481" s="22">
        <f>IF($J481&lt;&gt;"",$J481,IF(OR($E481="",$G481="",$H481="",$L481=""),"",($G481-$E481)*IF($C481="فروش",-1,1)*$H481*IF($M481="BASE",$L481/$G481,$L481)))</f>
        <v/>
      </c>
      <c r="P481" s="22">
        <f>IF($O481="","",$O481-N($I481))</f>
        <v/>
      </c>
      <c r="Q481" s="23">
        <f>IF(OR($P481="",$N481="",$N481=0),"",$P481/$N481)</f>
        <v/>
      </c>
      <c r="R481" s="21">
        <f>IF($P481="","",IF($P481&gt;0,"برد",IF($P481&lt;0,"باخت","سر به سر")))</f>
        <v/>
      </c>
      <c r="S481" s="22">
        <f>IF($P481="","",SUM($P$5:$P481))</f>
        <v/>
      </c>
      <c r="T481" s="24">
        <f>IF($R481="باخت",N($T480)+1,0)</f>
        <v/>
      </c>
      <c r="U481" s="22">
        <f>IF($S481="","",$S481-MAX($S$5:$S481))</f>
        <v/>
      </c>
    </row>
    <row r="482">
      <c r="A482" s="14" t="n"/>
      <c r="B482" s="15" t="n"/>
      <c r="C482" s="15" t="n"/>
      <c r="D482" s="15" t="n"/>
      <c r="E482" s="16" t="n"/>
      <c r="F482" s="16" t="n"/>
      <c r="G482" s="16" t="n"/>
      <c r="H482" s="17" t="n"/>
      <c r="I482" s="18" t="n"/>
      <c r="J482" s="18" t="n"/>
      <c r="K482" s="19" t="n"/>
      <c r="L482" s="20">
        <f>IF($B482="","",IFERROR(VLOOKUP($B482,'تنظیمات'!$A$4:$C$43,2,FALSE),1))</f>
        <v/>
      </c>
      <c r="M482" s="21">
        <f>IF($B482="","",IFERROR(VLOOKUP($B482,'تنظیمات'!$A$4:$C$43,3,FALSE),"USD"))</f>
        <v/>
      </c>
      <c r="N482" s="22">
        <f>IF(OR($E482="",$F482="",$H482="",$L482=""),"",ABS($E482-$F482)*$H482*IF($M482="BASE",$L482/$E482,$L482))</f>
        <v/>
      </c>
      <c r="O482" s="22">
        <f>IF($J482&lt;&gt;"",$J482,IF(OR($E482="",$G482="",$H482="",$L482=""),"",($G482-$E482)*IF($C482="فروش",-1,1)*$H482*IF($M482="BASE",$L482/$G482,$L482)))</f>
        <v/>
      </c>
      <c r="P482" s="22">
        <f>IF($O482="","",$O482-N($I482))</f>
        <v/>
      </c>
      <c r="Q482" s="23">
        <f>IF(OR($P482="",$N482="",$N482=0),"",$P482/$N482)</f>
        <v/>
      </c>
      <c r="R482" s="21">
        <f>IF($P482="","",IF($P482&gt;0,"برد",IF($P482&lt;0,"باخت","سر به سر")))</f>
        <v/>
      </c>
      <c r="S482" s="22">
        <f>IF($P482="","",SUM($P$5:$P482))</f>
        <v/>
      </c>
      <c r="T482" s="24">
        <f>IF($R482="باخت",N($T481)+1,0)</f>
        <v/>
      </c>
      <c r="U482" s="22">
        <f>IF($S482="","",$S482-MAX($S$5:$S482))</f>
        <v/>
      </c>
    </row>
    <row r="483">
      <c r="A483" s="14" t="n"/>
      <c r="B483" s="15" t="n"/>
      <c r="C483" s="15" t="n"/>
      <c r="D483" s="15" t="n"/>
      <c r="E483" s="16" t="n"/>
      <c r="F483" s="16" t="n"/>
      <c r="G483" s="16" t="n"/>
      <c r="H483" s="17" t="n"/>
      <c r="I483" s="18" t="n"/>
      <c r="J483" s="18" t="n"/>
      <c r="K483" s="19" t="n"/>
      <c r="L483" s="20">
        <f>IF($B483="","",IFERROR(VLOOKUP($B483,'تنظیمات'!$A$4:$C$43,2,FALSE),1))</f>
        <v/>
      </c>
      <c r="M483" s="21">
        <f>IF($B483="","",IFERROR(VLOOKUP($B483,'تنظیمات'!$A$4:$C$43,3,FALSE),"USD"))</f>
        <v/>
      </c>
      <c r="N483" s="22">
        <f>IF(OR($E483="",$F483="",$H483="",$L483=""),"",ABS($E483-$F483)*$H483*IF($M483="BASE",$L483/$E483,$L483))</f>
        <v/>
      </c>
      <c r="O483" s="22">
        <f>IF($J483&lt;&gt;"",$J483,IF(OR($E483="",$G483="",$H483="",$L483=""),"",($G483-$E483)*IF($C483="فروش",-1,1)*$H483*IF($M483="BASE",$L483/$G483,$L483)))</f>
        <v/>
      </c>
      <c r="P483" s="22">
        <f>IF($O483="","",$O483-N($I483))</f>
        <v/>
      </c>
      <c r="Q483" s="23">
        <f>IF(OR($P483="",$N483="",$N483=0),"",$P483/$N483)</f>
        <v/>
      </c>
      <c r="R483" s="21">
        <f>IF($P483="","",IF($P483&gt;0,"برد",IF($P483&lt;0,"باخت","سر به سر")))</f>
        <v/>
      </c>
      <c r="S483" s="22">
        <f>IF($P483="","",SUM($P$5:$P483))</f>
        <v/>
      </c>
      <c r="T483" s="24">
        <f>IF($R483="باخت",N($T482)+1,0)</f>
        <v/>
      </c>
      <c r="U483" s="22">
        <f>IF($S483="","",$S483-MAX($S$5:$S483))</f>
        <v/>
      </c>
    </row>
    <row r="484">
      <c r="A484" s="14" t="n"/>
      <c r="B484" s="15" t="n"/>
      <c r="C484" s="15" t="n"/>
      <c r="D484" s="15" t="n"/>
      <c r="E484" s="16" t="n"/>
      <c r="F484" s="16" t="n"/>
      <c r="G484" s="16" t="n"/>
      <c r="H484" s="17" t="n"/>
      <c r="I484" s="18" t="n"/>
      <c r="J484" s="18" t="n"/>
      <c r="K484" s="19" t="n"/>
      <c r="L484" s="20">
        <f>IF($B484="","",IFERROR(VLOOKUP($B484,'تنظیمات'!$A$4:$C$43,2,FALSE),1))</f>
        <v/>
      </c>
      <c r="M484" s="21">
        <f>IF($B484="","",IFERROR(VLOOKUP($B484,'تنظیمات'!$A$4:$C$43,3,FALSE),"USD"))</f>
        <v/>
      </c>
      <c r="N484" s="22">
        <f>IF(OR($E484="",$F484="",$H484="",$L484=""),"",ABS($E484-$F484)*$H484*IF($M484="BASE",$L484/$E484,$L484))</f>
        <v/>
      </c>
      <c r="O484" s="22">
        <f>IF($J484&lt;&gt;"",$J484,IF(OR($E484="",$G484="",$H484="",$L484=""),"",($G484-$E484)*IF($C484="فروش",-1,1)*$H484*IF($M484="BASE",$L484/$G484,$L484)))</f>
        <v/>
      </c>
      <c r="P484" s="22">
        <f>IF($O484="","",$O484-N($I484))</f>
        <v/>
      </c>
      <c r="Q484" s="23">
        <f>IF(OR($P484="",$N484="",$N484=0),"",$P484/$N484)</f>
        <v/>
      </c>
      <c r="R484" s="21">
        <f>IF($P484="","",IF($P484&gt;0,"برد",IF($P484&lt;0,"باخت","سر به سر")))</f>
        <v/>
      </c>
      <c r="S484" s="22">
        <f>IF($P484="","",SUM($P$5:$P484))</f>
        <v/>
      </c>
      <c r="T484" s="24">
        <f>IF($R484="باخت",N($T483)+1,0)</f>
        <v/>
      </c>
      <c r="U484" s="22">
        <f>IF($S484="","",$S484-MAX($S$5:$S484))</f>
        <v/>
      </c>
    </row>
    <row r="485">
      <c r="A485" s="14" t="n"/>
      <c r="B485" s="15" t="n"/>
      <c r="C485" s="15" t="n"/>
      <c r="D485" s="15" t="n"/>
      <c r="E485" s="16" t="n"/>
      <c r="F485" s="16" t="n"/>
      <c r="G485" s="16" t="n"/>
      <c r="H485" s="17" t="n"/>
      <c r="I485" s="18" t="n"/>
      <c r="J485" s="18" t="n"/>
      <c r="K485" s="19" t="n"/>
      <c r="L485" s="20">
        <f>IF($B485="","",IFERROR(VLOOKUP($B485,'تنظیمات'!$A$4:$C$43,2,FALSE),1))</f>
        <v/>
      </c>
      <c r="M485" s="21">
        <f>IF($B485="","",IFERROR(VLOOKUP($B485,'تنظیمات'!$A$4:$C$43,3,FALSE),"USD"))</f>
        <v/>
      </c>
      <c r="N485" s="22">
        <f>IF(OR($E485="",$F485="",$H485="",$L485=""),"",ABS($E485-$F485)*$H485*IF($M485="BASE",$L485/$E485,$L485))</f>
        <v/>
      </c>
      <c r="O485" s="22">
        <f>IF($J485&lt;&gt;"",$J485,IF(OR($E485="",$G485="",$H485="",$L485=""),"",($G485-$E485)*IF($C485="فروش",-1,1)*$H485*IF($M485="BASE",$L485/$G485,$L485)))</f>
        <v/>
      </c>
      <c r="P485" s="22">
        <f>IF($O485="","",$O485-N($I485))</f>
        <v/>
      </c>
      <c r="Q485" s="23">
        <f>IF(OR($P485="",$N485="",$N485=0),"",$P485/$N485)</f>
        <v/>
      </c>
      <c r="R485" s="21">
        <f>IF($P485="","",IF($P485&gt;0,"برد",IF($P485&lt;0,"باخت","سر به سر")))</f>
        <v/>
      </c>
      <c r="S485" s="22">
        <f>IF($P485="","",SUM($P$5:$P485))</f>
        <v/>
      </c>
      <c r="T485" s="24">
        <f>IF($R485="باخت",N($T484)+1,0)</f>
        <v/>
      </c>
      <c r="U485" s="22">
        <f>IF($S485="","",$S485-MAX($S$5:$S485))</f>
        <v/>
      </c>
    </row>
    <row r="486">
      <c r="A486" s="14" t="n"/>
      <c r="B486" s="15" t="n"/>
      <c r="C486" s="15" t="n"/>
      <c r="D486" s="15" t="n"/>
      <c r="E486" s="16" t="n"/>
      <c r="F486" s="16" t="n"/>
      <c r="G486" s="16" t="n"/>
      <c r="H486" s="17" t="n"/>
      <c r="I486" s="18" t="n"/>
      <c r="J486" s="18" t="n"/>
      <c r="K486" s="19" t="n"/>
      <c r="L486" s="20">
        <f>IF($B486="","",IFERROR(VLOOKUP($B486,'تنظیمات'!$A$4:$C$43,2,FALSE),1))</f>
        <v/>
      </c>
      <c r="M486" s="21">
        <f>IF($B486="","",IFERROR(VLOOKUP($B486,'تنظیمات'!$A$4:$C$43,3,FALSE),"USD"))</f>
        <v/>
      </c>
      <c r="N486" s="22">
        <f>IF(OR($E486="",$F486="",$H486="",$L486=""),"",ABS($E486-$F486)*$H486*IF($M486="BASE",$L486/$E486,$L486))</f>
        <v/>
      </c>
      <c r="O486" s="22">
        <f>IF($J486&lt;&gt;"",$J486,IF(OR($E486="",$G486="",$H486="",$L486=""),"",($G486-$E486)*IF($C486="فروش",-1,1)*$H486*IF($M486="BASE",$L486/$G486,$L486)))</f>
        <v/>
      </c>
      <c r="P486" s="22">
        <f>IF($O486="","",$O486-N($I486))</f>
        <v/>
      </c>
      <c r="Q486" s="23">
        <f>IF(OR($P486="",$N486="",$N486=0),"",$P486/$N486)</f>
        <v/>
      </c>
      <c r="R486" s="21">
        <f>IF($P486="","",IF($P486&gt;0,"برد",IF($P486&lt;0,"باخت","سر به سر")))</f>
        <v/>
      </c>
      <c r="S486" s="22">
        <f>IF($P486="","",SUM($P$5:$P486))</f>
        <v/>
      </c>
      <c r="T486" s="24">
        <f>IF($R486="باخت",N($T485)+1,0)</f>
        <v/>
      </c>
      <c r="U486" s="22">
        <f>IF($S486="","",$S486-MAX($S$5:$S486))</f>
        <v/>
      </c>
    </row>
    <row r="487">
      <c r="A487" s="14" t="n"/>
      <c r="B487" s="15" t="n"/>
      <c r="C487" s="15" t="n"/>
      <c r="D487" s="15" t="n"/>
      <c r="E487" s="16" t="n"/>
      <c r="F487" s="16" t="n"/>
      <c r="G487" s="16" t="n"/>
      <c r="H487" s="17" t="n"/>
      <c r="I487" s="18" t="n"/>
      <c r="J487" s="18" t="n"/>
      <c r="K487" s="19" t="n"/>
      <c r="L487" s="20">
        <f>IF($B487="","",IFERROR(VLOOKUP($B487,'تنظیمات'!$A$4:$C$43,2,FALSE),1))</f>
        <v/>
      </c>
      <c r="M487" s="21">
        <f>IF($B487="","",IFERROR(VLOOKUP($B487,'تنظیمات'!$A$4:$C$43,3,FALSE),"USD"))</f>
        <v/>
      </c>
      <c r="N487" s="22">
        <f>IF(OR($E487="",$F487="",$H487="",$L487=""),"",ABS($E487-$F487)*$H487*IF($M487="BASE",$L487/$E487,$L487))</f>
        <v/>
      </c>
      <c r="O487" s="22">
        <f>IF($J487&lt;&gt;"",$J487,IF(OR($E487="",$G487="",$H487="",$L487=""),"",($G487-$E487)*IF($C487="فروش",-1,1)*$H487*IF($M487="BASE",$L487/$G487,$L487)))</f>
        <v/>
      </c>
      <c r="P487" s="22">
        <f>IF($O487="","",$O487-N($I487))</f>
        <v/>
      </c>
      <c r="Q487" s="23">
        <f>IF(OR($P487="",$N487="",$N487=0),"",$P487/$N487)</f>
        <v/>
      </c>
      <c r="R487" s="21">
        <f>IF($P487="","",IF($P487&gt;0,"برد",IF($P487&lt;0,"باخت","سر به سر")))</f>
        <v/>
      </c>
      <c r="S487" s="22">
        <f>IF($P487="","",SUM($P$5:$P487))</f>
        <v/>
      </c>
      <c r="T487" s="24">
        <f>IF($R487="باخت",N($T486)+1,0)</f>
        <v/>
      </c>
      <c r="U487" s="22">
        <f>IF($S487="","",$S487-MAX($S$5:$S487))</f>
        <v/>
      </c>
    </row>
    <row r="488">
      <c r="A488" s="14" t="n"/>
      <c r="B488" s="15" t="n"/>
      <c r="C488" s="15" t="n"/>
      <c r="D488" s="15" t="n"/>
      <c r="E488" s="16" t="n"/>
      <c r="F488" s="16" t="n"/>
      <c r="G488" s="16" t="n"/>
      <c r="H488" s="17" t="n"/>
      <c r="I488" s="18" t="n"/>
      <c r="J488" s="18" t="n"/>
      <c r="K488" s="19" t="n"/>
      <c r="L488" s="20">
        <f>IF($B488="","",IFERROR(VLOOKUP($B488,'تنظیمات'!$A$4:$C$43,2,FALSE),1))</f>
        <v/>
      </c>
      <c r="M488" s="21">
        <f>IF($B488="","",IFERROR(VLOOKUP($B488,'تنظیمات'!$A$4:$C$43,3,FALSE),"USD"))</f>
        <v/>
      </c>
      <c r="N488" s="22">
        <f>IF(OR($E488="",$F488="",$H488="",$L488=""),"",ABS($E488-$F488)*$H488*IF($M488="BASE",$L488/$E488,$L488))</f>
        <v/>
      </c>
      <c r="O488" s="22">
        <f>IF($J488&lt;&gt;"",$J488,IF(OR($E488="",$G488="",$H488="",$L488=""),"",($G488-$E488)*IF($C488="فروش",-1,1)*$H488*IF($M488="BASE",$L488/$G488,$L488)))</f>
        <v/>
      </c>
      <c r="P488" s="22">
        <f>IF($O488="","",$O488-N($I488))</f>
        <v/>
      </c>
      <c r="Q488" s="23">
        <f>IF(OR($P488="",$N488="",$N488=0),"",$P488/$N488)</f>
        <v/>
      </c>
      <c r="R488" s="21">
        <f>IF($P488="","",IF($P488&gt;0,"برد",IF($P488&lt;0,"باخت","سر به سر")))</f>
        <v/>
      </c>
      <c r="S488" s="22">
        <f>IF($P488="","",SUM($P$5:$P488))</f>
        <v/>
      </c>
      <c r="T488" s="24">
        <f>IF($R488="باخت",N($T487)+1,0)</f>
        <v/>
      </c>
      <c r="U488" s="22">
        <f>IF($S488="","",$S488-MAX($S$5:$S488))</f>
        <v/>
      </c>
    </row>
    <row r="489">
      <c r="A489" s="14" t="n"/>
      <c r="B489" s="15" t="n"/>
      <c r="C489" s="15" t="n"/>
      <c r="D489" s="15" t="n"/>
      <c r="E489" s="16" t="n"/>
      <c r="F489" s="16" t="n"/>
      <c r="G489" s="16" t="n"/>
      <c r="H489" s="17" t="n"/>
      <c r="I489" s="18" t="n"/>
      <c r="J489" s="18" t="n"/>
      <c r="K489" s="19" t="n"/>
      <c r="L489" s="20">
        <f>IF($B489="","",IFERROR(VLOOKUP($B489,'تنظیمات'!$A$4:$C$43,2,FALSE),1))</f>
        <v/>
      </c>
      <c r="M489" s="21">
        <f>IF($B489="","",IFERROR(VLOOKUP($B489,'تنظیمات'!$A$4:$C$43,3,FALSE),"USD"))</f>
        <v/>
      </c>
      <c r="N489" s="22">
        <f>IF(OR($E489="",$F489="",$H489="",$L489=""),"",ABS($E489-$F489)*$H489*IF($M489="BASE",$L489/$E489,$L489))</f>
        <v/>
      </c>
      <c r="O489" s="22">
        <f>IF($J489&lt;&gt;"",$J489,IF(OR($E489="",$G489="",$H489="",$L489=""),"",($G489-$E489)*IF($C489="فروش",-1,1)*$H489*IF($M489="BASE",$L489/$G489,$L489)))</f>
        <v/>
      </c>
      <c r="P489" s="22">
        <f>IF($O489="","",$O489-N($I489))</f>
        <v/>
      </c>
      <c r="Q489" s="23">
        <f>IF(OR($P489="",$N489="",$N489=0),"",$P489/$N489)</f>
        <v/>
      </c>
      <c r="R489" s="21">
        <f>IF($P489="","",IF($P489&gt;0,"برد",IF($P489&lt;0,"باخت","سر به سر")))</f>
        <v/>
      </c>
      <c r="S489" s="22">
        <f>IF($P489="","",SUM($P$5:$P489))</f>
        <v/>
      </c>
      <c r="T489" s="24">
        <f>IF($R489="باخت",N($T488)+1,0)</f>
        <v/>
      </c>
      <c r="U489" s="22">
        <f>IF($S489="","",$S489-MAX($S$5:$S489))</f>
        <v/>
      </c>
    </row>
    <row r="490">
      <c r="A490" s="14" t="n"/>
      <c r="B490" s="15" t="n"/>
      <c r="C490" s="15" t="n"/>
      <c r="D490" s="15" t="n"/>
      <c r="E490" s="16" t="n"/>
      <c r="F490" s="16" t="n"/>
      <c r="G490" s="16" t="n"/>
      <c r="H490" s="17" t="n"/>
      <c r="I490" s="18" t="n"/>
      <c r="J490" s="18" t="n"/>
      <c r="K490" s="19" t="n"/>
      <c r="L490" s="20">
        <f>IF($B490="","",IFERROR(VLOOKUP($B490,'تنظیمات'!$A$4:$C$43,2,FALSE),1))</f>
        <v/>
      </c>
      <c r="M490" s="21">
        <f>IF($B490="","",IFERROR(VLOOKUP($B490,'تنظیمات'!$A$4:$C$43,3,FALSE),"USD"))</f>
        <v/>
      </c>
      <c r="N490" s="22">
        <f>IF(OR($E490="",$F490="",$H490="",$L490=""),"",ABS($E490-$F490)*$H490*IF($M490="BASE",$L490/$E490,$L490))</f>
        <v/>
      </c>
      <c r="O490" s="22">
        <f>IF($J490&lt;&gt;"",$J490,IF(OR($E490="",$G490="",$H490="",$L490=""),"",($G490-$E490)*IF($C490="فروش",-1,1)*$H490*IF($M490="BASE",$L490/$G490,$L490)))</f>
        <v/>
      </c>
      <c r="P490" s="22">
        <f>IF($O490="","",$O490-N($I490))</f>
        <v/>
      </c>
      <c r="Q490" s="23">
        <f>IF(OR($P490="",$N490="",$N490=0),"",$P490/$N490)</f>
        <v/>
      </c>
      <c r="R490" s="21">
        <f>IF($P490="","",IF($P490&gt;0,"برد",IF($P490&lt;0,"باخت","سر به سر")))</f>
        <v/>
      </c>
      <c r="S490" s="22">
        <f>IF($P490="","",SUM($P$5:$P490))</f>
        <v/>
      </c>
      <c r="T490" s="24">
        <f>IF($R490="باخت",N($T489)+1,0)</f>
        <v/>
      </c>
      <c r="U490" s="22">
        <f>IF($S490="","",$S490-MAX($S$5:$S490))</f>
        <v/>
      </c>
    </row>
    <row r="491">
      <c r="A491" s="14" t="n"/>
      <c r="B491" s="15" t="n"/>
      <c r="C491" s="15" t="n"/>
      <c r="D491" s="15" t="n"/>
      <c r="E491" s="16" t="n"/>
      <c r="F491" s="16" t="n"/>
      <c r="G491" s="16" t="n"/>
      <c r="H491" s="17" t="n"/>
      <c r="I491" s="18" t="n"/>
      <c r="J491" s="18" t="n"/>
      <c r="K491" s="19" t="n"/>
      <c r="L491" s="20">
        <f>IF($B491="","",IFERROR(VLOOKUP($B491,'تنظیمات'!$A$4:$C$43,2,FALSE),1))</f>
        <v/>
      </c>
      <c r="M491" s="21">
        <f>IF($B491="","",IFERROR(VLOOKUP($B491,'تنظیمات'!$A$4:$C$43,3,FALSE),"USD"))</f>
        <v/>
      </c>
      <c r="N491" s="22">
        <f>IF(OR($E491="",$F491="",$H491="",$L491=""),"",ABS($E491-$F491)*$H491*IF($M491="BASE",$L491/$E491,$L491))</f>
        <v/>
      </c>
      <c r="O491" s="22">
        <f>IF($J491&lt;&gt;"",$J491,IF(OR($E491="",$G491="",$H491="",$L491=""),"",($G491-$E491)*IF($C491="فروش",-1,1)*$H491*IF($M491="BASE",$L491/$G491,$L491)))</f>
        <v/>
      </c>
      <c r="P491" s="22">
        <f>IF($O491="","",$O491-N($I491))</f>
        <v/>
      </c>
      <c r="Q491" s="23">
        <f>IF(OR($P491="",$N491="",$N491=0),"",$P491/$N491)</f>
        <v/>
      </c>
      <c r="R491" s="21">
        <f>IF($P491="","",IF($P491&gt;0,"برد",IF($P491&lt;0,"باخت","سر به سر")))</f>
        <v/>
      </c>
      <c r="S491" s="22">
        <f>IF($P491="","",SUM($P$5:$P491))</f>
        <v/>
      </c>
      <c r="T491" s="24">
        <f>IF($R491="باخت",N($T490)+1,0)</f>
        <v/>
      </c>
      <c r="U491" s="22">
        <f>IF($S491="","",$S491-MAX($S$5:$S491))</f>
        <v/>
      </c>
    </row>
    <row r="492">
      <c r="A492" s="14" t="n"/>
      <c r="B492" s="15" t="n"/>
      <c r="C492" s="15" t="n"/>
      <c r="D492" s="15" t="n"/>
      <c r="E492" s="16" t="n"/>
      <c r="F492" s="16" t="n"/>
      <c r="G492" s="16" t="n"/>
      <c r="H492" s="17" t="n"/>
      <c r="I492" s="18" t="n"/>
      <c r="J492" s="18" t="n"/>
      <c r="K492" s="19" t="n"/>
      <c r="L492" s="20">
        <f>IF($B492="","",IFERROR(VLOOKUP($B492,'تنظیمات'!$A$4:$C$43,2,FALSE),1))</f>
        <v/>
      </c>
      <c r="M492" s="21">
        <f>IF($B492="","",IFERROR(VLOOKUP($B492,'تنظیمات'!$A$4:$C$43,3,FALSE),"USD"))</f>
        <v/>
      </c>
      <c r="N492" s="22">
        <f>IF(OR($E492="",$F492="",$H492="",$L492=""),"",ABS($E492-$F492)*$H492*IF($M492="BASE",$L492/$E492,$L492))</f>
        <v/>
      </c>
      <c r="O492" s="22">
        <f>IF($J492&lt;&gt;"",$J492,IF(OR($E492="",$G492="",$H492="",$L492=""),"",($G492-$E492)*IF($C492="فروش",-1,1)*$H492*IF($M492="BASE",$L492/$G492,$L492)))</f>
        <v/>
      </c>
      <c r="P492" s="22">
        <f>IF($O492="","",$O492-N($I492))</f>
        <v/>
      </c>
      <c r="Q492" s="23">
        <f>IF(OR($P492="",$N492="",$N492=0),"",$P492/$N492)</f>
        <v/>
      </c>
      <c r="R492" s="21">
        <f>IF($P492="","",IF($P492&gt;0,"برد",IF($P492&lt;0,"باخت","سر به سر")))</f>
        <v/>
      </c>
      <c r="S492" s="22">
        <f>IF($P492="","",SUM($P$5:$P492))</f>
        <v/>
      </c>
      <c r="T492" s="24">
        <f>IF($R492="باخت",N($T491)+1,0)</f>
        <v/>
      </c>
      <c r="U492" s="22">
        <f>IF($S492="","",$S492-MAX($S$5:$S492))</f>
        <v/>
      </c>
    </row>
    <row r="493">
      <c r="A493" s="14" t="n"/>
      <c r="B493" s="15" t="n"/>
      <c r="C493" s="15" t="n"/>
      <c r="D493" s="15" t="n"/>
      <c r="E493" s="16" t="n"/>
      <c r="F493" s="16" t="n"/>
      <c r="G493" s="16" t="n"/>
      <c r="H493" s="17" t="n"/>
      <c r="I493" s="18" t="n"/>
      <c r="J493" s="18" t="n"/>
      <c r="K493" s="19" t="n"/>
      <c r="L493" s="20">
        <f>IF($B493="","",IFERROR(VLOOKUP($B493,'تنظیمات'!$A$4:$C$43,2,FALSE),1))</f>
        <v/>
      </c>
      <c r="M493" s="21">
        <f>IF($B493="","",IFERROR(VLOOKUP($B493,'تنظیمات'!$A$4:$C$43,3,FALSE),"USD"))</f>
        <v/>
      </c>
      <c r="N493" s="22">
        <f>IF(OR($E493="",$F493="",$H493="",$L493=""),"",ABS($E493-$F493)*$H493*IF($M493="BASE",$L493/$E493,$L493))</f>
        <v/>
      </c>
      <c r="O493" s="22">
        <f>IF($J493&lt;&gt;"",$J493,IF(OR($E493="",$G493="",$H493="",$L493=""),"",($G493-$E493)*IF($C493="فروش",-1,1)*$H493*IF($M493="BASE",$L493/$G493,$L493)))</f>
        <v/>
      </c>
      <c r="P493" s="22">
        <f>IF($O493="","",$O493-N($I493))</f>
        <v/>
      </c>
      <c r="Q493" s="23">
        <f>IF(OR($P493="",$N493="",$N493=0),"",$P493/$N493)</f>
        <v/>
      </c>
      <c r="R493" s="21">
        <f>IF($P493="","",IF($P493&gt;0,"برد",IF($P493&lt;0,"باخت","سر به سر")))</f>
        <v/>
      </c>
      <c r="S493" s="22">
        <f>IF($P493="","",SUM($P$5:$P493))</f>
        <v/>
      </c>
      <c r="T493" s="24">
        <f>IF($R493="باخت",N($T492)+1,0)</f>
        <v/>
      </c>
      <c r="U493" s="22">
        <f>IF($S493="","",$S493-MAX($S$5:$S493))</f>
        <v/>
      </c>
    </row>
    <row r="494">
      <c r="A494" s="14" t="n"/>
      <c r="B494" s="15" t="n"/>
      <c r="C494" s="15" t="n"/>
      <c r="D494" s="15" t="n"/>
      <c r="E494" s="16" t="n"/>
      <c r="F494" s="16" t="n"/>
      <c r="G494" s="16" t="n"/>
      <c r="H494" s="17" t="n"/>
      <c r="I494" s="18" t="n"/>
      <c r="J494" s="18" t="n"/>
      <c r="K494" s="19" t="n"/>
      <c r="L494" s="20">
        <f>IF($B494="","",IFERROR(VLOOKUP($B494,'تنظیمات'!$A$4:$C$43,2,FALSE),1))</f>
        <v/>
      </c>
      <c r="M494" s="21">
        <f>IF($B494="","",IFERROR(VLOOKUP($B494,'تنظیمات'!$A$4:$C$43,3,FALSE),"USD"))</f>
        <v/>
      </c>
      <c r="N494" s="22">
        <f>IF(OR($E494="",$F494="",$H494="",$L494=""),"",ABS($E494-$F494)*$H494*IF($M494="BASE",$L494/$E494,$L494))</f>
        <v/>
      </c>
      <c r="O494" s="22">
        <f>IF($J494&lt;&gt;"",$J494,IF(OR($E494="",$G494="",$H494="",$L494=""),"",($G494-$E494)*IF($C494="فروش",-1,1)*$H494*IF($M494="BASE",$L494/$G494,$L494)))</f>
        <v/>
      </c>
      <c r="P494" s="22">
        <f>IF($O494="","",$O494-N($I494))</f>
        <v/>
      </c>
      <c r="Q494" s="23">
        <f>IF(OR($P494="",$N494="",$N494=0),"",$P494/$N494)</f>
        <v/>
      </c>
      <c r="R494" s="21">
        <f>IF($P494="","",IF($P494&gt;0,"برد",IF($P494&lt;0,"باخت","سر به سر")))</f>
        <v/>
      </c>
      <c r="S494" s="22">
        <f>IF($P494="","",SUM($P$5:$P494))</f>
        <v/>
      </c>
      <c r="T494" s="24">
        <f>IF($R494="باخت",N($T493)+1,0)</f>
        <v/>
      </c>
      <c r="U494" s="22">
        <f>IF($S494="","",$S494-MAX($S$5:$S494))</f>
        <v/>
      </c>
    </row>
    <row r="495">
      <c r="A495" s="14" t="n"/>
      <c r="B495" s="15" t="n"/>
      <c r="C495" s="15" t="n"/>
      <c r="D495" s="15" t="n"/>
      <c r="E495" s="16" t="n"/>
      <c r="F495" s="16" t="n"/>
      <c r="G495" s="16" t="n"/>
      <c r="H495" s="17" t="n"/>
      <c r="I495" s="18" t="n"/>
      <c r="J495" s="18" t="n"/>
      <c r="K495" s="19" t="n"/>
      <c r="L495" s="20">
        <f>IF($B495="","",IFERROR(VLOOKUP($B495,'تنظیمات'!$A$4:$C$43,2,FALSE),1))</f>
        <v/>
      </c>
      <c r="M495" s="21">
        <f>IF($B495="","",IFERROR(VLOOKUP($B495,'تنظیمات'!$A$4:$C$43,3,FALSE),"USD"))</f>
        <v/>
      </c>
      <c r="N495" s="22">
        <f>IF(OR($E495="",$F495="",$H495="",$L495=""),"",ABS($E495-$F495)*$H495*IF($M495="BASE",$L495/$E495,$L495))</f>
        <v/>
      </c>
      <c r="O495" s="22">
        <f>IF($J495&lt;&gt;"",$J495,IF(OR($E495="",$G495="",$H495="",$L495=""),"",($G495-$E495)*IF($C495="فروش",-1,1)*$H495*IF($M495="BASE",$L495/$G495,$L495)))</f>
        <v/>
      </c>
      <c r="P495" s="22">
        <f>IF($O495="","",$O495-N($I495))</f>
        <v/>
      </c>
      <c r="Q495" s="23">
        <f>IF(OR($P495="",$N495="",$N495=0),"",$P495/$N495)</f>
        <v/>
      </c>
      <c r="R495" s="21">
        <f>IF($P495="","",IF($P495&gt;0,"برد",IF($P495&lt;0,"باخت","سر به سر")))</f>
        <v/>
      </c>
      <c r="S495" s="22">
        <f>IF($P495="","",SUM($P$5:$P495))</f>
        <v/>
      </c>
      <c r="T495" s="24">
        <f>IF($R495="باخت",N($T494)+1,0)</f>
        <v/>
      </c>
      <c r="U495" s="22">
        <f>IF($S495="","",$S495-MAX($S$5:$S495))</f>
        <v/>
      </c>
    </row>
    <row r="496">
      <c r="A496" s="14" t="n"/>
      <c r="B496" s="15" t="n"/>
      <c r="C496" s="15" t="n"/>
      <c r="D496" s="15" t="n"/>
      <c r="E496" s="16" t="n"/>
      <c r="F496" s="16" t="n"/>
      <c r="G496" s="16" t="n"/>
      <c r="H496" s="17" t="n"/>
      <c r="I496" s="18" t="n"/>
      <c r="J496" s="18" t="n"/>
      <c r="K496" s="19" t="n"/>
      <c r="L496" s="20">
        <f>IF($B496="","",IFERROR(VLOOKUP($B496,'تنظیمات'!$A$4:$C$43,2,FALSE),1))</f>
        <v/>
      </c>
      <c r="M496" s="21">
        <f>IF($B496="","",IFERROR(VLOOKUP($B496,'تنظیمات'!$A$4:$C$43,3,FALSE),"USD"))</f>
        <v/>
      </c>
      <c r="N496" s="22">
        <f>IF(OR($E496="",$F496="",$H496="",$L496=""),"",ABS($E496-$F496)*$H496*IF($M496="BASE",$L496/$E496,$L496))</f>
        <v/>
      </c>
      <c r="O496" s="22">
        <f>IF($J496&lt;&gt;"",$J496,IF(OR($E496="",$G496="",$H496="",$L496=""),"",($G496-$E496)*IF($C496="فروش",-1,1)*$H496*IF($M496="BASE",$L496/$G496,$L496)))</f>
        <v/>
      </c>
      <c r="P496" s="22">
        <f>IF($O496="","",$O496-N($I496))</f>
        <v/>
      </c>
      <c r="Q496" s="23">
        <f>IF(OR($P496="",$N496="",$N496=0),"",$P496/$N496)</f>
        <v/>
      </c>
      <c r="R496" s="21">
        <f>IF($P496="","",IF($P496&gt;0,"برد",IF($P496&lt;0,"باخت","سر به سر")))</f>
        <v/>
      </c>
      <c r="S496" s="22">
        <f>IF($P496="","",SUM($P$5:$P496))</f>
        <v/>
      </c>
      <c r="T496" s="24">
        <f>IF($R496="باخت",N($T495)+1,0)</f>
        <v/>
      </c>
      <c r="U496" s="22">
        <f>IF($S496="","",$S496-MAX($S$5:$S496))</f>
        <v/>
      </c>
    </row>
    <row r="497">
      <c r="A497" s="14" t="n"/>
      <c r="B497" s="15" t="n"/>
      <c r="C497" s="15" t="n"/>
      <c r="D497" s="15" t="n"/>
      <c r="E497" s="16" t="n"/>
      <c r="F497" s="16" t="n"/>
      <c r="G497" s="16" t="n"/>
      <c r="H497" s="17" t="n"/>
      <c r="I497" s="18" t="n"/>
      <c r="J497" s="18" t="n"/>
      <c r="K497" s="19" t="n"/>
      <c r="L497" s="20">
        <f>IF($B497="","",IFERROR(VLOOKUP($B497,'تنظیمات'!$A$4:$C$43,2,FALSE),1))</f>
        <v/>
      </c>
      <c r="M497" s="21">
        <f>IF($B497="","",IFERROR(VLOOKUP($B497,'تنظیمات'!$A$4:$C$43,3,FALSE),"USD"))</f>
        <v/>
      </c>
      <c r="N497" s="22">
        <f>IF(OR($E497="",$F497="",$H497="",$L497=""),"",ABS($E497-$F497)*$H497*IF($M497="BASE",$L497/$E497,$L497))</f>
        <v/>
      </c>
      <c r="O497" s="22">
        <f>IF($J497&lt;&gt;"",$J497,IF(OR($E497="",$G497="",$H497="",$L497=""),"",($G497-$E497)*IF($C497="فروش",-1,1)*$H497*IF($M497="BASE",$L497/$G497,$L497)))</f>
        <v/>
      </c>
      <c r="P497" s="22">
        <f>IF($O497="","",$O497-N($I497))</f>
        <v/>
      </c>
      <c r="Q497" s="23">
        <f>IF(OR($P497="",$N497="",$N497=0),"",$P497/$N497)</f>
        <v/>
      </c>
      <c r="R497" s="21">
        <f>IF($P497="","",IF($P497&gt;0,"برد",IF($P497&lt;0,"باخت","سر به سر")))</f>
        <v/>
      </c>
      <c r="S497" s="22">
        <f>IF($P497="","",SUM($P$5:$P497))</f>
        <v/>
      </c>
      <c r="T497" s="24">
        <f>IF($R497="باخت",N($T496)+1,0)</f>
        <v/>
      </c>
      <c r="U497" s="22">
        <f>IF($S497="","",$S497-MAX($S$5:$S497))</f>
        <v/>
      </c>
    </row>
    <row r="498">
      <c r="A498" s="14" t="n"/>
      <c r="B498" s="15" t="n"/>
      <c r="C498" s="15" t="n"/>
      <c r="D498" s="15" t="n"/>
      <c r="E498" s="16" t="n"/>
      <c r="F498" s="16" t="n"/>
      <c r="G498" s="16" t="n"/>
      <c r="H498" s="17" t="n"/>
      <c r="I498" s="18" t="n"/>
      <c r="J498" s="18" t="n"/>
      <c r="K498" s="19" t="n"/>
      <c r="L498" s="20">
        <f>IF($B498="","",IFERROR(VLOOKUP($B498,'تنظیمات'!$A$4:$C$43,2,FALSE),1))</f>
        <v/>
      </c>
      <c r="M498" s="21">
        <f>IF($B498="","",IFERROR(VLOOKUP($B498,'تنظیمات'!$A$4:$C$43,3,FALSE),"USD"))</f>
        <v/>
      </c>
      <c r="N498" s="22">
        <f>IF(OR($E498="",$F498="",$H498="",$L498=""),"",ABS($E498-$F498)*$H498*IF($M498="BASE",$L498/$E498,$L498))</f>
        <v/>
      </c>
      <c r="O498" s="22">
        <f>IF($J498&lt;&gt;"",$J498,IF(OR($E498="",$G498="",$H498="",$L498=""),"",($G498-$E498)*IF($C498="فروش",-1,1)*$H498*IF($M498="BASE",$L498/$G498,$L498)))</f>
        <v/>
      </c>
      <c r="P498" s="22">
        <f>IF($O498="","",$O498-N($I498))</f>
        <v/>
      </c>
      <c r="Q498" s="23">
        <f>IF(OR($P498="",$N498="",$N498=0),"",$P498/$N498)</f>
        <v/>
      </c>
      <c r="R498" s="21">
        <f>IF($P498="","",IF($P498&gt;0,"برد",IF($P498&lt;0,"باخت","سر به سر")))</f>
        <v/>
      </c>
      <c r="S498" s="22">
        <f>IF($P498="","",SUM($P$5:$P498))</f>
        <v/>
      </c>
      <c r="T498" s="24">
        <f>IF($R498="باخت",N($T497)+1,0)</f>
        <v/>
      </c>
      <c r="U498" s="22">
        <f>IF($S498="","",$S498-MAX($S$5:$S498))</f>
        <v/>
      </c>
    </row>
    <row r="499">
      <c r="A499" s="14" t="n"/>
      <c r="B499" s="15" t="n"/>
      <c r="C499" s="15" t="n"/>
      <c r="D499" s="15" t="n"/>
      <c r="E499" s="16" t="n"/>
      <c r="F499" s="16" t="n"/>
      <c r="G499" s="16" t="n"/>
      <c r="H499" s="17" t="n"/>
      <c r="I499" s="18" t="n"/>
      <c r="J499" s="18" t="n"/>
      <c r="K499" s="19" t="n"/>
      <c r="L499" s="20">
        <f>IF($B499="","",IFERROR(VLOOKUP($B499,'تنظیمات'!$A$4:$C$43,2,FALSE),1))</f>
        <v/>
      </c>
      <c r="M499" s="21">
        <f>IF($B499="","",IFERROR(VLOOKUP($B499,'تنظیمات'!$A$4:$C$43,3,FALSE),"USD"))</f>
        <v/>
      </c>
      <c r="N499" s="22">
        <f>IF(OR($E499="",$F499="",$H499="",$L499=""),"",ABS($E499-$F499)*$H499*IF($M499="BASE",$L499/$E499,$L499))</f>
        <v/>
      </c>
      <c r="O499" s="22">
        <f>IF($J499&lt;&gt;"",$J499,IF(OR($E499="",$G499="",$H499="",$L499=""),"",($G499-$E499)*IF($C499="فروش",-1,1)*$H499*IF($M499="BASE",$L499/$G499,$L499)))</f>
        <v/>
      </c>
      <c r="P499" s="22">
        <f>IF($O499="","",$O499-N($I499))</f>
        <v/>
      </c>
      <c r="Q499" s="23">
        <f>IF(OR($P499="",$N499="",$N499=0),"",$P499/$N499)</f>
        <v/>
      </c>
      <c r="R499" s="21">
        <f>IF($P499="","",IF($P499&gt;0,"برد",IF($P499&lt;0,"باخت","سر به سر")))</f>
        <v/>
      </c>
      <c r="S499" s="22">
        <f>IF($P499="","",SUM($P$5:$P499))</f>
        <v/>
      </c>
      <c r="T499" s="24">
        <f>IF($R499="باخت",N($T498)+1,0)</f>
        <v/>
      </c>
      <c r="U499" s="22">
        <f>IF($S499="","",$S499-MAX($S$5:$S499))</f>
        <v/>
      </c>
    </row>
    <row r="500">
      <c r="A500" s="14" t="n"/>
      <c r="B500" s="15" t="n"/>
      <c r="C500" s="15" t="n"/>
      <c r="D500" s="15" t="n"/>
      <c r="E500" s="16" t="n"/>
      <c r="F500" s="16" t="n"/>
      <c r="G500" s="16" t="n"/>
      <c r="H500" s="17" t="n"/>
      <c r="I500" s="18" t="n"/>
      <c r="J500" s="18" t="n"/>
      <c r="K500" s="19" t="n"/>
      <c r="L500" s="20">
        <f>IF($B500="","",IFERROR(VLOOKUP($B500,'تنظیمات'!$A$4:$C$43,2,FALSE),1))</f>
        <v/>
      </c>
      <c r="M500" s="21">
        <f>IF($B500="","",IFERROR(VLOOKUP($B500,'تنظیمات'!$A$4:$C$43,3,FALSE),"USD"))</f>
        <v/>
      </c>
      <c r="N500" s="22">
        <f>IF(OR($E500="",$F500="",$H500="",$L500=""),"",ABS($E500-$F500)*$H500*IF($M500="BASE",$L500/$E500,$L500))</f>
        <v/>
      </c>
      <c r="O500" s="22">
        <f>IF($J500&lt;&gt;"",$J500,IF(OR($E500="",$G500="",$H500="",$L500=""),"",($G500-$E500)*IF($C500="فروش",-1,1)*$H500*IF($M500="BASE",$L500/$G500,$L500)))</f>
        <v/>
      </c>
      <c r="P500" s="22">
        <f>IF($O500="","",$O500-N($I500))</f>
        <v/>
      </c>
      <c r="Q500" s="23">
        <f>IF(OR($P500="",$N500="",$N500=0),"",$P500/$N500)</f>
        <v/>
      </c>
      <c r="R500" s="21">
        <f>IF($P500="","",IF($P500&gt;0,"برد",IF($P500&lt;0,"باخت","سر به سر")))</f>
        <v/>
      </c>
      <c r="S500" s="22">
        <f>IF($P500="","",SUM($P$5:$P500))</f>
        <v/>
      </c>
      <c r="T500" s="24">
        <f>IF($R500="باخت",N($T499)+1,0)</f>
        <v/>
      </c>
      <c r="U500" s="22">
        <f>IF($S500="","",$S500-MAX($S$5:$S500))</f>
        <v/>
      </c>
    </row>
    <row r="501">
      <c r="A501" s="14" t="n"/>
      <c r="B501" s="15" t="n"/>
      <c r="C501" s="15" t="n"/>
      <c r="D501" s="15" t="n"/>
      <c r="E501" s="16" t="n"/>
      <c r="F501" s="16" t="n"/>
      <c r="G501" s="16" t="n"/>
      <c r="H501" s="17" t="n"/>
      <c r="I501" s="18" t="n"/>
      <c r="J501" s="18" t="n"/>
      <c r="K501" s="19" t="n"/>
      <c r="L501" s="20">
        <f>IF($B501="","",IFERROR(VLOOKUP($B501,'تنظیمات'!$A$4:$C$43,2,FALSE),1))</f>
        <v/>
      </c>
      <c r="M501" s="21">
        <f>IF($B501="","",IFERROR(VLOOKUP($B501,'تنظیمات'!$A$4:$C$43,3,FALSE),"USD"))</f>
        <v/>
      </c>
      <c r="N501" s="22">
        <f>IF(OR($E501="",$F501="",$H501="",$L501=""),"",ABS($E501-$F501)*$H501*IF($M501="BASE",$L501/$E501,$L501))</f>
        <v/>
      </c>
      <c r="O501" s="22">
        <f>IF($J501&lt;&gt;"",$J501,IF(OR($E501="",$G501="",$H501="",$L501=""),"",($G501-$E501)*IF($C501="فروش",-1,1)*$H501*IF($M501="BASE",$L501/$G501,$L501)))</f>
        <v/>
      </c>
      <c r="P501" s="22">
        <f>IF($O501="","",$O501-N($I501))</f>
        <v/>
      </c>
      <c r="Q501" s="23">
        <f>IF(OR($P501="",$N501="",$N501=0),"",$P501/$N501)</f>
        <v/>
      </c>
      <c r="R501" s="21">
        <f>IF($P501="","",IF($P501&gt;0,"برد",IF($P501&lt;0,"باخت","سر به سر")))</f>
        <v/>
      </c>
      <c r="S501" s="22">
        <f>IF($P501="","",SUM($P$5:$P501))</f>
        <v/>
      </c>
      <c r="T501" s="24">
        <f>IF($R501="باخت",N($T500)+1,0)</f>
        <v/>
      </c>
      <c r="U501" s="22">
        <f>IF($S501="","",$S501-MAX($S$5:$S501))</f>
        <v/>
      </c>
    </row>
    <row r="502">
      <c r="A502" s="14" t="n"/>
      <c r="B502" s="15" t="n"/>
      <c r="C502" s="15" t="n"/>
      <c r="D502" s="15" t="n"/>
      <c r="E502" s="16" t="n"/>
      <c r="F502" s="16" t="n"/>
      <c r="G502" s="16" t="n"/>
      <c r="H502" s="17" t="n"/>
      <c r="I502" s="18" t="n"/>
      <c r="J502" s="18" t="n"/>
      <c r="K502" s="19" t="n"/>
      <c r="L502" s="20">
        <f>IF($B502="","",IFERROR(VLOOKUP($B502,'تنظیمات'!$A$4:$C$43,2,FALSE),1))</f>
        <v/>
      </c>
      <c r="M502" s="21">
        <f>IF($B502="","",IFERROR(VLOOKUP($B502,'تنظیمات'!$A$4:$C$43,3,FALSE),"USD"))</f>
        <v/>
      </c>
      <c r="N502" s="22">
        <f>IF(OR($E502="",$F502="",$H502="",$L502=""),"",ABS($E502-$F502)*$H502*IF($M502="BASE",$L502/$E502,$L502))</f>
        <v/>
      </c>
      <c r="O502" s="22">
        <f>IF($J502&lt;&gt;"",$J502,IF(OR($E502="",$G502="",$H502="",$L502=""),"",($G502-$E502)*IF($C502="فروش",-1,1)*$H502*IF($M502="BASE",$L502/$G502,$L502)))</f>
        <v/>
      </c>
      <c r="P502" s="22">
        <f>IF($O502="","",$O502-N($I502))</f>
        <v/>
      </c>
      <c r="Q502" s="23">
        <f>IF(OR($P502="",$N502="",$N502=0),"",$P502/$N502)</f>
        <v/>
      </c>
      <c r="R502" s="21">
        <f>IF($P502="","",IF($P502&gt;0,"برد",IF($P502&lt;0,"باخت","سر به سر")))</f>
        <v/>
      </c>
      <c r="S502" s="22">
        <f>IF($P502="","",SUM($P$5:$P502))</f>
        <v/>
      </c>
      <c r="T502" s="24">
        <f>IF($R502="باخت",N($T501)+1,0)</f>
        <v/>
      </c>
      <c r="U502" s="22">
        <f>IF($S502="","",$S502-MAX($S$5:$S502))</f>
        <v/>
      </c>
    </row>
    <row r="503">
      <c r="A503" s="14" t="n"/>
      <c r="B503" s="15" t="n"/>
      <c r="C503" s="15" t="n"/>
      <c r="D503" s="15" t="n"/>
      <c r="E503" s="16" t="n"/>
      <c r="F503" s="16" t="n"/>
      <c r="G503" s="16" t="n"/>
      <c r="H503" s="17" t="n"/>
      <c r="I503" s="18" t="n"/>
      <c r="J503" s="18" t="n"/>
      <c r="K503" s="19" t="n"/>
      <c r="L503" s="20">
        <f>IF($B503="","",IFERROR(VLOOKUP($B503,'تنظیمات'!$A$4:$C$43,2,FALSE),1))</f>
        <v/>
      </c>
      <c r="M503" s="21">
        <f>IF($B503="","",IFERROR(VLOOKUP($B503,'تنظیمات'!$A$4:$C$43,3,FALSE),"USD"))</f>
        <v/>
      </c>
      <c r="N503" s="22">
        <f>IF(OR($E503="",$F503="",$H503="",$L503=""),"",ABS($E503-$F503)*$H503*IF($M503="BASE",$L503/$E503,$L503))</f>
        <v/>
      </c>
      <c r="O503" s="22">
        <f>IF($J503&lt;&gt;"",$J503,IF(OR($E503="",$G503="",$H503="",$L503=""),"",($G503-$E503)*IF($C503="فروش",-1,1)*$H503*IF($M503="BASE",$L503/$G503,$L503)))</f>
        <v/>
      </c>
      <c r="P503" s="22">
        <f>IF($O503="","",$O503-N($I503))</f>
        <v/>
      </c>
      <c r="Q503" s="23">
        <f>IF(OR($P503="",$N503="",$N503=0),"",$P503/$N503)</f>
        <v/>
      </c>
      <c r="R503" s="21">
        <f>IF($P503="","",IF($P503&gt;0,"برد",IF($P503&lt;0,"باخت","سر به سر")))</f>
        <v/>
      </c>
      <c r="S503" s="22">
        <f>IF($P503="","",SUM($P$5:$P503))</f>
        <v/>
      </c>
      <c r="T503" s="24">
        <f>IF($R503="باخت",N($T502)+1,0)</f>
        <v/>
      </c>
      <c r="U503" s="22">
        <f>IF($S503="","",$S503-MAX($S$5:$S503))</f>
        <v/>
      </c>
    </row>
    <row r="504">
      <c r="A504" s="14" t="n"/>
      <c r="B504" s="15" t="n"/>
      <c r="C504" s="15" t="n"/>
      <c r="D504" s="15" t="n"/>
      <c r="E504" s="16" t="n"/>
      <c r="F504" s="16" t="n"/>
      <c r="G504" s="16" t="n"/>
      <c r="H504" s="17" t="n"/>
      <c r="I504" s="18" t="n"/>
      <c r="J504" s="18" t="n"/>
      <c r="K504" s="19" t="n"/>
      <c r="L504" s="20">
        <f>IF($B504="","",IFERROR(VLOOKUP($B504,'تنظیمات'!$A$4:$C$43,2,FALSE),1))</f>
        <v/>
      </c>
      <c r="M504" s="21">
        <f>IF($B504="","",IFERROR(VLOOKUP($B504,'تنظیمات'!$A$4:$C$43,3,FALSE),"USD"))</f>
        <v/>
      </c>
      <c r="N504" s="22">
        <f>IF(OR($E504="",$F504="",$H504="",$L504=""),"",ABS($E504-$F504)*$H504*IF($M504="BASE",$L504/$E504,$L504))</f>
        <v/>
      </c>
      <c r="O504" s="22">
        <f>IF($J504&lt;&gt;"",$J504,IF(OR($E504="",$G504="",$H504="",$L504=""),"",($G504-$E504)*IF($C504="فروش",-1,1)*$H504*IF($M504="BASE",$L504/$G504,$L504)))</f>
        <v/>
      </c>
      <c r="P504" s="22">
        <f>IF($O504="","",$O504-N($I504))</f>
        <v/>
      </c>
      <c r="Q504" s="23">
        <f>IF(OR($P504="",$N504="",$N504=0),"",$P504/$N504)</f>
        <v/>
      </c>
      <c r="R504" s="21">
        <f>IF($P504="","",IF($P504&gt;0,"برد",IF($P504&lt;0,"باخت","سر به سر")))</f>
        <v/>
      </c>
      <c r="S504" s="22">
        <f>IF($P504="","",SUM($P$5:$P504))</f>
        <v/>
      </c>
      <c r="T504" s="24">
        <f>IF($R504="باخت",N($T503)+1,0)</f>
        <v/>
      </c>
      <c r="U504" s="22">
        <f>IF($S504="","",$S504-MAX($S$5:$S504))</f>
        <v/>
      </c>
    </row>
  </sheetData>
  <autoFilter ref="A4:U504"/>
  <conditionalFormatting sqref="R5:R504">
    <cfRule type="cellIs" priority="1" operator="equal" dxfId="0">
      <formula>"برد"</formula>
    </cfRule>
    <cfRule type="cellIs" priority="2" operator="equal" dxfId="1">
      <formula>"باخت"</formula>
    </cfRule>
  </conditionalFormatting>
  <conditionalFormatting sqref="P5:P504">
    <cfRule type="expression" priority="3" dxfId="0">
      <formula>AND(ISNUMBER($P5),$P5&gt;0)</formula>
    </cfRule>
    <cfRule type="expression" priority="4" dxfId="1">
      <formula>AND(ISNUMBER($P5),$P5&lt;0)</formula>
    </cfRule>
  </conditionalFormatting>
  <dataValidations count="3">
    <dataValidation sqref="C5:C504" showDropDown="0" showInputMessage="0" showErrorMessage="0" allowBlank="1" error="خرید یا فروش" type="list">
      <formula1>"خرید,فروش"</formula1>
    </dataValidation>
    <dataValidation sqref="D5:D504" showDropDown="0" showInputMessage="0" showErrorMessage="0" allowBlank="1" type="list">
      <formula1>='تنظیمات'!$E$4:$E$9</formula1>
    </dataValidation>
    <dataValidation sqref="B5:B504" showDropDown="0" showInputMessage="0" showErrorMessage="0" allowBlank="1" type="list">
      <formula1>='تنظیمات'!$A$4:$A$43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5B34D0"/>
    <outlinePr summaryBelow="1" summaryRight="1"/>
    <pageSetUpPr/>
  </sheetPr>
  <dimension ref="A1:N43"/>
  <sheetViews>
    <sheetView showGridLines="0" rightToLeft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25" t="inlineStr">
        <is>
          <t>داشبورد</t>
        </is>
      </c>
    </row>
    <row r="2">
      <c r="A2" s="9" t="inlineStr">
        <is>
          <t>همه‌ی عددها از شیت «ثبت معامله» خوانده می‌شوند و با هر ردیف تازه به‌روز می‌شوند.</t>
        </is>
      </c>
    </row>
    <row r="4">
      <c r="A4" s="26" t="inlineStr">
        <is>
          <t>عملکرد</t>
        </is>
      </c>
    </row>
    <row r="5" ht="22" customHeight="1">
      <c r="A5" s="27" t="inlineStr">
        <is>
          <t>تعداد معامله‌ها</t>
        </is>
      </c>
      <c r="B5" s="28" t="n"/>
      <c r="C5" s="29" t="n"/>
      <c r="D5" s="27" t="inlineStr">
        <is>
          <t>درصد برد</t>
        </is>
      </c>
      <c r="E5" s="28" t="n"/>
      <c r="F5" s="29" t="n"/>
      <c r="G5" s="27" t="inlineStr">
        <is>
          <t>سود خالص ($)</t>
        </is>
      </c>
      <c r="H5" s="28" t="n"/>
      <c r="I5" s="29" t="n"/>
      <c r="J5" s="27" t="inlineStr">
        <is>
          <t>ضریب سود</t>
        </is>
      </c>
      <c r="K5" s="28" t="n"/>
      <c r="L5" s="29" t="n"/>
      <c r="M5" s="27" t="inlineStr">
        <is>
          <t>میانگین R</t>
        </is>
      </c>
      <c r="N5" s="29" t="n"/>
    </row>
    <row r="6" ht="34" customHeight="1">
      <c r="A6" s="30">
        <f>COUNT('ثبت معامله'!$P$5:$P$504)</f>
        <v/>
      </c>
      <c r="B6" s="31" t="n"/>
      <c r="C6" s="32" t="n"/>
      <c r="D6" s="33">
        <f>IFERROR(COUNTIF('ثبت معامله'!$R$5:$R$504,"برد")/COUNT('ثبت معامله'!$P$5:$P$504),0)</f>
        <v/>
      </c>
      <c r="E6" s="31" t="n"/>
      <c r="F6" s="32" t="n"/>
      <c r="G6" s="34">
        <f>SUM('ثبت معامله'!$P$5:$P$504)</f>
        <v/>
      </c>
      <c r="H6" s="31" t="n"/>
      <c r="I6" s="32" t="n"/>
      <c r="J6" s="35">
        <f>IFERROR(SUMIF('ثبت معامله'!$P$5:$P$504,"&gt;0")/ABS(SUMIF('ثبت معامله'!$P$5:$P$504,"&lt;0")),"—")</f>
        <v/>
      </c>
      <c r="K6" s="31" t="n"/>
      <c r="L6" s="32" t="n"/>
      <c r="M6" s="35">
        <f>IFERROR(AVERAGE('ثبت معامله'!$Q$5:$Q$504),0)</f>
        <v/>
      </c>
      <c r="N6" s="32" t="n"/>
    </row>
    <row r="8" ht="22" customHeight="1">
      <c r="A8" s="27" t="inlineStr">
        <is>
          <t>میانگین سود معامله‌ی برنده ($)</t>
        </is>
      </c>
      <c r="B8" s="28" t="n"/>
      <c r="C8" s="29" t="n"/>
      <c r="D8" s="27" t="inlineStr">
        <is>
          <t>میانگین ضرر معامله‌ی بازنده ($)</t>
        </is>
      </c>
      <c r="E8" s="28" t="n"/>
      <c r="F8" s="29" t="n"/>
      <c r="G8" s="27" t="inlineStr">
        <is>
          <t>امید ریاضی هر معامله ($)</t>
        </is>
      </c>
      <c r="H8" s="28" t="n"/>
      <c r="I8" s="29" t="n"/>
      <c r="J8" s="27" t="inlineStr">
        <is>
          <t>نسبت میانگین سود به ضرر</t>
        </is>
      </c>
      <c r="K8" s="28" t="n"/>
      <c r="L8" s="29" t="n"/>
      <c r="M8" s="27" t="inlineStr">
        <is>
          <t>کارمزد کل ($)</t>
        </is>
      </c>
      <c r="N8" s="29" t="n"/>
    </row>
    <row r="9" ht="34" customHeight="1">
      <c r="A9" s="36">
        <f>IFERROR(AVERAGEIF('ثبت معامله'!$P$5:$P$504,"&gt;0"),0)</f>
        <v/>
      </c>
      <c r="B9" s="31" t="n"/>
      <c r="C9" s="32" t="n"/>
      <c r="D9" s="37">
        <f>IFERROR(AVERAGEIF('ثبت معامله'!$P$5:$P$504,"&lt;0"),0)</f>
        <v/>
      </c>
      <c r="E9" s="31" t="n"/>
      <c r="F9" s="32" t="n"/>
      <c r="G9" s="34">
        <f>IFERROR(AVERAGE('ثبت معامله'!$P$5:$P$504),0)</f>
        <v/>
      </c>
      <c r="H9" s="31" t="n"/>
      <c r="I9" s="32" t="n"/>
      <c r="J9" s="35">
        <f>IFERROR(A9/ABS(D9),"—")</f>
        <v/>
      </c>
      <c r="K9" s="31" t="n"/>
      <c r="L9" s="32" t="n"/>
      <c r="M9" s="38">
        <f>SUM('ثبت معامله'!$I$5:$I$504)</f>
        <v/>
      </c>
      <c r="N9" s="32" t="n"/>
    </row>
    <row r="11">
      <c r="A11" s="26" t="inlineStr">
        <is>
          <t>ریسک</t>
        </is>
      </c>
    </row>
    <row r="12" ht="22" customHeight="1">
      <c r="A12" s="27" t="inlineStr">
        <is>
          <t>بزرگ‌ترین سود ($)</t>
        </is>
      </c>
      <c r="B12" s="28" t="n"/>
      <c r="C12" s="29" t="n"/>
      <c r="D12" s="27" t="inlineStr">
        <is>
          <t>بزرگ‌ترین ضرر ($)</t>
        </is>
      </c>
      <c r="E12" s="28" t="n"/>
      <c r="F12" s="29" t="n"/>
      <c r="G12" s="27" t="inlineStr">
        <is>
          <t>بیشترین باخت پیاپی</t>
        </is>
      </c>
      <c r="H12" s="28" t="n"/>
      <c r="I12" s="29" t="n"/>
      <c r="J12" s="27" t="inlineStr">
        <is>
          <t>بیشینه‌ی افت ($)</t>
        </is>
      </c>
      <c r="K12" s="28" t="n"/>
      <c r="L12" s="29" t="n"/>
      <c r="M12" s="27" t="inlineStr">
        <is>
          <t>میانگین ریسک هر معامله ($)</t>
        </is>
      </c>
      <c r="N12" s="29" t="n"/>
    </row>
    <row r="13" ht="34" customHeight="1">
      <c r="A13" s="36">
        <f>IF(COUNT('ثبت معامله'!$P$5:$P$504)=0,0,MAX('ثبت معامله'!$P$5:$P$504))</f>
        <v/>
      </c>
      <c r="B13" s="31" t="n"/>
      <c r="C13" s="32" t="n"/>
      <c r="D13" s="37">
        <f>IF(COUNT('ثبت معامله'!$P$5:$P$504)=0,0,MIN('ثبت معامله'!$P$5:$P$504))</f>
        <v/>
      </c>
      <c r="E13" s="31" t="n"/>
      <c r="F13" s="32" t="n"/>
      <c r="G13" s="30">
        <f>MAX('ثبت معامله'!$T$5:$T$504)</f>
        <v/>
      </c>
      <c r="H13" s="31" t="n"/>
      <c r="I13" s="32" t="n"/>
      <c r="J13" s="37">
        <f>IFERROR(MIN('ثبت معامله'!$U$5:$U$504),0)</f>
        <v/>
      </c>
      <c r="K13" s="31" t="n"/>
      <c r="L13" s="32" t="n"/>
      <c r="M13" s="38">
        <f>IFERROR(AVERAGE('ثبت معامله'!$N$5:$N$504),0)</f>
        <v/>
      </c>
      <c r="N13" s="32" t="n"/>
    </row>
    <row r="15">
      <c r="A15" s="26" t="inlineStr">
        <is>
          <t>نتیجه‌ها</t>
        </is>
      </c>
      <c r="D15" s="26" t="inlineStr">
        <is>
          <t>عملکرد هر استراتژی</t>
        </is>
      </c>
    </row>
    <row r="16">
      <c r="A16" s="39" t="inlineStr">
        <is>
          <t>برد</t>
        </is>
      </c>
      <c r="B16" s="39">
        <f>COUNTIF('ثبت معامله'!$R$5:$R$504,"برد")</f>
        <v/>
      </c>
      <c r="D16" s="40" t="inlineStr">
        <is>
          <t>استراتژی</t>
        </is>
      </c>
      <c r="E16" s="40" t="inlineStr">
        <is>
          <t>تعداد</t>
        </is>
      </c>
      <c r="F16" s="40" t="inlineStr">
        <is>
          <t>درصد برد</t>
        </is>
      </c>
      <c r="G16" s="40" t="inlineStr">
        <is>
          <t>سود خالص ($)</t>
        </is>
      </c>
      <c r="H16" s="40" t="inlineStr">
        <is>
          <t>میانگین R</t>
        </is>
      </c>
    </row>
    <row r="17">
      <c r="A17" s="39" t="inlineStr">
        <is>
          <t>باخت</t>
        </is>
      </c>
      <c r="B17" s="39">
        <f>COUNTIF('ثبت معامله'!$R$5:$R$504,"باخت")</f>
        <v/>
      </c>
      <c r="D17" s="41">
        <f>IF('تنظیمات'!$E$4="","",'تنظیمات'!$E$4)</f>
        <v/>
      </c>
      <c r="E17" s="42">
        <f>IF($D17="","",SUMPRODUCT(--('ثبت معامله'!$D$5:$D$504=$D17),--ISNUMBER('ثبت معامله'!$P$5:$P$504)))</f>
        <v/>
      </c>
      <c r="F17" s="43">
        <f>IF($D17="","",IFERROR(COUNTIFS('ثبت معامله'!$D$5:$D$504,$D17,'ثبت معامله'!$R$5:$R$504,"برد")/E17,0))</f>
        <v/>
      </c>
      <c r="G17" s="44">
        <f>IF($D17="","",SUMIFS('ثبت معامله'!$P$5:$P$504,'ثبت معامله'!$D$5:$D$504,$D17))</f>
        <v/>
      </c>
      <c r="H17" s="45">
        <f>IF($D17="","",IFERROR(AVERAGEIFS('ثبت معامله'!$Q$5:$Q$504,'ثبت معامله'!$D$5:$D$504,$D17),0))</f>
        <v/>
      </c>
    </row>
    <row r="18">
      <c r="A18" s="39" t="inlineStr">
        <is>
          <t>سر به سر</t>
        </is>
      </c>
      <c r="B18" s="39">
        <f>COUNTIF('ثبت معامله'!$R$5:$R$504,"سر به سر")</f>
        <v/>
      </c>
      <c r="D18" s="41">
        <f>IF('تنظیمات'!$E$5="","",'تنظیمات'!$E$5)</f>
        <v/>
      </c>
      <c r="E18" s="42">
        <f>IF($D18="","",SUMPRODUCT(--('ثبت معامله'!$D$5:$D$504=$D18),--ISNUMBER('ثبت معامله'!$P$5:$P$504)))</f>
        <v/>
      </c>
      <c r="F18" s="43">
        <f>IF($D18="","",IFERROR(COUNTIFS('ثبت معامله'!$D$5:$D$504,$D18,'ثبت معامله'!$R$5:$R$504,"برد")/E18,0))</f>
        <v/>
      </c>
      <c r="G18" s="44">
        <f>IF($D18="","",SUMIFS('ثبت معامله'!$P$5:$P$504,'ثبت معامله'!$D$5:$D$504,$D18))</f>
        <v/>
      </c>
      <c r="H18" s="45">
        <f>IF($D18="","",IFERROR(AVERAGEIFS('ثبت معامله'!$Q$5:$Q$504,'ثبت معامله'!$D$5:$D$504,$D18),0))</f>
        <v/>
      </c>
    </row>
    <row r="19">
      <c r="D19" s="41">
        <f>IF('تنظیمات'!$E$6="","",'تنظیمات'!$E$6)</f>
        <v/>
      </c>
      <c r="E19" s="42">
        <f>IF($D19="","",SUMPRODUCT(--('ثبت معامله'!$D$5:$D$504=$D19),--ISNUMBER('ثبت معامله'!$P$5:$P$504)))</f>
        <v/>
      </c>
      <c r="F19" s="43">
        <f>IF($D19="","",IFERROR(COUNTIFS('ثبت معامله'!$D$5:$D$504,$D19,'ثبت معامله'!$R$5:$R$504,"برد")/E19,0))</f>
        <v/>
      </c>
      <c r="G19" s="44">
        <f>IF($D19="","",SUMIFS('ثبت معامله'!$P$5:$P$504,'ثبت معامله'!$D$5:$D$504,$D19))</f>
        <v/>
      </c>
      <c r="H19" s="45">
        <f>IF($D19="","",IFERROR(AVERAGEIFS('ثبت معامله'!$Q$5:$Q$504,'ثبت معامله'!$D$5:$D$504,$D19),0))</f>
        <v/>
      </c>
    </row>
    <row r="20">
      <c r="D20" s="41">
        <f>IF('تنظیمات'!$E$7="","",'تنظیمات'!$E$7)</f>
        <v/>
      </c>
      <c r="E20" s="42">
        <f>IF($D20="","",SUMPRODUCT(--('ثبت معامله'!$D$5:$D$504=$D20),--ISNUMBER('ثبت معامله'!$P$5:$P$504)))</f>
        <v/>
      </c>
      <c r="F20" s="43">
        <f>IF($D20="","",IFERROR(COUNTIFS('ثبت معامله'!$D$5:$D$504,$D20,'ثبت معامله'!$R$5:$R$504,"برد")/E20,0))</f>
        <v/>
      </c>
      <c r="G20" s="44">
        <f>IF($D20="","",SUMIFS('ثبت معامله'!$P$5:$P$504,'ثبت معامله'!$D$5:$D$504,$D20))</f>
        <v/>
      </c>
      <c r="H20" s="45">
        <f>IF($D20="","",IFERROR(AVERAGEIFS('ثبت معامله'!$Q$5:$Q$504,'ثبت معامله'!$D$5:$D$504,$D20),0))</f>
        <v/>
      </c>
    </row>
    <row r="21">
      <c r="D21" s="41">
        <f>IF('تنظیمات'!$E$8="","",'تنظیمات'!$E$8)</f>
        <v/>
      </c>
      <c r="E21" s="42">
        <f>IF($D21="","",SUMPRODUCT(--('ثبت معامله'!$D$5:$D$504=$D21),--ISNUMBER('ثبت معامله'!$P$5:$P$504)))</f>
        <v/>
      </c>
      <c r="F21" s="43">
        <f>IF($D21="","",IFERROR(COUNTIFS('ثبت معامله'!$D$5:$D$504,$D21,'ثبت معامله'!$R$5:$R$504,"برد")/E21,0))</f>
        <v/>
      </c>
      <c r="G21" s="44">
        <f>IF($D21="","",SUMIFS('ثبت معامله'!$P$5:$P$504,'ثبت معامله'!$D$5:$D$504,$D21))</f>
        <v/>
      </c>
      <c r="H21" s="45">
        <f>IF($D21="","",IFERROR(AVERAGEIFS('ثبت معامله'!$Q$5:$Q$504,'ثبت معامله'!$D$5:$D$504,$D21),0))</f>
        <v/>
      </c>
    </row>
    <row r="22">
      <c r="D22" s="41">
        <f>IF('تنظیمات'!$E$9="","",'تنظیمات'!$E$9)</f>
        <v/>
      </c>
      <c r="E22" s="42">
        <f>IF($D22="","",SUMPRODUCT(--('ثبت معامله'!$D$5:$D$504=$D22),--ISNUMBER('ثبت معامله'!$P$5:$P$504)))</f>
        <v/>
      </c>
      <c r="F22" s="43">
        <f>IF($D22="","",IFERROR(COUNTIFS('ثبت معامله'!$D$5:$D$504,$D22,'ثبت معامله'!$R$5:$R$504,"برد")/E22,0))</f>
        <v/>
      </c>
      <c r="G22" s="44">
        <f>IF($D22="","",SUMIFS('ثبت معامله'!$P$5:$P$504,'ثبت معامله'!$D$5:$D$504,$D22))</f>
        <v/>
      </c>
      <c r="H22" s="45">
        <f>IF($D22="","",IFERROR(AVERAGEIFS('ثبت معامله'!$Q$5:$Q$504,'ثبت معامله'!$D$5:$D$504,$D22),0))</f>
        <v/>
      </c>
    </row>
    <row r="24">
      <c r="A24" s="26" t="inlineStr">
        <is>
          <t>منحنی سرمایه — مجموع سود و زیان خالص به دلار</t>
        </is>
      </c>
    </row>
    <row r="43">
      <c r="A43" s="26" t="inlineStr">
        <is>
          <t>سود خالص هر استراتژی به دلار</t>
        </is>
      </c>
      <c r="H43" s="26" t="inlineStr">
        <is>
          <t>برد، باخت و سر به سر</t>
        </is>
      </c>
    </row>
  </sheetData>
  <mergeCells count="30">
    <mergeCell ref="J6:L6"/>
    <mergeCell ref="D13:F13"/>
    <mergeCell ref="G6:I6"/>
    <mergeCell ref="G13:I13"/>
    <mergeCell ref="M9:N9"/>
    <mergeCell ref="M5:N5"/>
    <mergeCell ref="A12:C12"/>
    <mergeCell ref="A5:C5"/>
    <mergeCell ref="G5:I5"/>
    <mergeCell ref="A8:C8"/>
    <mergeCell ref="D12:F12"/>
    <mergeCell ref="D9:F9"/>
    <mergeCell ref="J12:L12"/>
    <mergeCell ref="D8:F8"/>
    <mergeCell ref="M13:N13"/>
    <mergeCell ref="A13:C13"/>
    <mergeCell ref="D5:F5"/>
    <mergeCell ref="M6:N6"/>
    <mergeCell ref="M12:N12"/>
    <mergeCell ref="A9:C9"/>
    <mergeCell ref="G9:I9"/>
    <mergeCell ref="J8:L8"/>
    <mergeCell ref="G12:I12"/>
    <mergeCell ref="M8:N8"/>
    <mergeCell ref="J5:L5"/>
    <mergeCell ref="J13:L13"/>
    <mergeCell ref="A6:C6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4" customWidth="1" min="4" max="4"/>
    <col width="26" customWidth="1" min="5" max="5"/>
    <col width="4" customWidth="1" min="6" max="6"/>
  </cols>
  <sheetData>
    <row r="1">
      <c r="A1" s="8" t="inlineStr">
        <is>
          <t>تنظیمات</t>
        </is>
      </c>
    </row>
    <row r="2">
      <c r="A2" s="9" t="inlineStr">
        <is>
          <t>جدول نمادها (کارمزد و اندازه‌ی قرارداد) و فهرست استراتژی‌ها. هر دو را می‌توانی ویرایش کنی.</t>
        </is>
      </c>
    </row>
    <row r="3" ht="34" customHeight="1">
      <c r="A3" s="46" t="inlineStr">
        <is>
          <t>نماد</t>
        </is>
      </c>
      <c r="B3" s="46" t="inlineStr">
        <is>
          <t>اندازه‌ی قرارداد (یک لات)</t>
        </is>
      </c>
      <c r="C3" s="46" t="inlineStr">
        <is>
          <t>نوع</t>
        </is>
      </c>
      <c r="E3" s="46" t="inlineStr">
        <is>
          <t>استراتژی‌ها</t>
        </is>
      </c>
    </row>
    <row r="4">
      <c r="A4" s="47" t="inlineStr">
        <is>
          <t>EURUSD</t>
        </is>
      </c>
      <c r="B4" s="48" t="n">
        <v>100000</v>
      </c>
      <c r="C4" s="47" t="inlineStr">
        <is>
          <t>USD</t>
        </is>
      </c>
      <c r="E4" s="39" t="inlineStr">
        <is>
          <t>پول‌بک</t>
        </is>
      </c>
    </row>
    <row r="5">
      <c r="A5" s="47" t="inlineStr">
        <is>
          <t>GBPUSD</t>
        </is>
      </c>
      <c r="B5" s="48" t="n">
        <v>100000</v>
      </c>
      <c r="C5" s="47" t="inlineStr">
        <is>
          <t>USD</t>
        </is>
      </c>
      <c r="E5" s="39" t="inlineStr">
        <is>
          <t>شکست</t>
        </is>
      </c>
    </row>
    <row r="6">
      <c r="A6" s="47" t="inlineStr">
        <is>
          <t>AUDUSD</t>
        </is>
      </c>
      <c r="B6" s="48" t="n">
        <v>100000</v>
      </c>
      <c r="C6" s="47" t="inlineStr">
        <is>
          <t>USD</t>
        </is>
      </c>
      <c r="E6" s="39" t="inlineStr">
        <is>
          <t>روند</t>
        </is>
      </c>
    </row>
    <row r="7">
      <c r="A7" s="47" t="inlineStr">
        <is>
          <t>NZDUSD</t>
        </is>
      </c>
      <c r="B7" s="48" t="n">
        <v>100000</v>
      </c>
      <c r="C7" s="47" t="inlineStr">
        <is>
          <t>USD</t>
        </is>
      </c>
      <c r="E7" s="39" t="inlineStr">
        <is>
          <t>بازگشت از سطح</t>
        </is>
      </c>
    </row>
    <row r="8">
      <c r="A8" s="47" t="inlineStr">
        <is>
          <t>USDJPY</t>
        </is>
      </c>
      <c r="B8" s="48" t="n">
        <v>100000</v>
      </c>
      <c r="C8" s="47" t="inlineStr">
        <is>
          <t>BASE</t>
        </is>
      </c>
      <c r="E8" s="39" t="inlineStr">
        <is>
          <t>اخبار</t>
        </is>
      </c>
    </row>
    <row r="9">
      <c r="A9" s="47" t="inlineStr">
        <is>
          <t>USDCAD</t>
        </is>
      </c>
      <c r="B9" s="48" t="n">
        <v>100000</v>
      </c>
      <c r="C9" s="47" t="inlineStr">
        <is>
          <t>BASE</t>
        </is>
      </c>
      <c r="E9" s="39" t="inlineStr">
        <is>
          <t>سایر</t>
        </is>
      </c>
    </row>
    <row r="10">
      <c r="A10" s="47" t="inlineStr">
        <is>
          <t>USDCHF</t>
        </is>
      </c>
      <c r="B10" s="48" t="n">
        <v>100000</v>
      </c>
      <c r="C10" s="47" t="inlineStr">
        <is>
          <t>BASE</t>
        </is>
      </c>
    </row>
    <row r="11" ht="30" customHeight="1">
      <c r="A11" s="47" t="inlineStr">
        <is>
          <t>XAUUSD</t>
        </is>
      </c>
      <c r="B11" s="48" t="n">
        <v>100</v>
      </c>
      <c r="C11" s="47" t="inlineStr">
        <is>
          <t>USD</t>
        </is>
      </c>
      <c r="E11" s="49" t="inlineStr">
        <is>
          <t>شش استراتژی برای نمودار کافی است؛ اسم‌ها را عوض کن.</t>
        </is>
      </c>
    </row>
    <row r="12">
      <c r="A12" s="47" t="inlineStr">
        <is>
          <t>XAGUSD</t>
        </is>
      </c>
      <c r="B12" s="48" t="n">
        <v>5000</v>
      </c>
      <c r="C12" s="47" t="inlineStr">
        <is>
          <t>USD</t>
        </is>
      </c>
    </row>
    <row r="13">
      <c r="A13" s="47" t="inlineStr">
        <is>
          <t>USOIL</t>
        </is>
      </c>
      <c r="B13" s="48" t="n">
        <v>1000</v>
      </c>
      <c r="C13" s="47" t="inlineStr">
        <is>
          <t>USD</t>
        </is>
      </c>
    </row>
    <row r="14">
      <c r="A14" s="47" t="inlineStr">
        <is>
          <t>BTCUSD</t>
        </is>
      </c>
      <c r="B14" s="48" t="n">
        <v>1</v>
      </c>
      <c r="C14" s="47" t="inlineStr">
        <is>
          <t>USD</t>
        </is>
      </c>
    </row>
    <row r="15">
      <c r="A15" s="47" t="inlineStr">
        <is>
          <t>US30</t>
        </is>
      </c>
      <c r="B15" s="48" t="n">
        <v>1</v>
      </c>
      <c r="C15" s="47" t="inlineStr">
        <is>
          <t>USD</t>
        </is>
      </c>
    </row>
    <row r="16">
      <c r="A16" s="47" t="inlineStr">
        <is>
          <t>NAS100</t>
        </is>
      </c>
      <c r="B16" s="48" t="n">
        <v>1</v>
      </c>
      <c r="C16" s="47" t="inlineStr">
        <is>
          <t>USD</t>
        </is>
      </c>
    </row>
    <row r="17">
      <c r="A17" s="47" t="inlineStr">
        <is>
          <t>US500</t>
        </is>
      </c>
      <c r="B17" s="48" t="n">
        <v>1</v>
      </c>
      <c r="C17" s="47" t="inlineStr">
        <is>
          <t>USD</t>
        </is>
      </c>
    </row>
    <row r="18">
      <c r="A18" s="47" t="n"/>
      <c r="B18" s="47" t="n"/>
      <c r="C18" s="47" t="n"/>
    </row>
    <row r="19">
      <c r="A19" s="47" t="n"/>
      <c r="B19" s="47" t="n"/>
      <c r="C19" s="47" t="n"/>
    </row>
    <row r="20">
      <c r="A20" s="47" t="n"/>
      <c r="B20" s="47" t="n"/>
      <c r="C20" s="47" t="n"/>
    </row>
    <row r="21">
      <c r="A21" s="47" t="n"/>
      <c r="B21" s="47" t="n"/>
      <c r="C21" s="47" t="n"/>
    </row>
    <row r="22">
      <c r="A22" s="47" t="n"/>
      <c r="B22" s="47" t="n"/>
      <c r="C22" s="47" t="n"/>
    </row>
    <row r="23">
      <c r="A23" s="47" t="n"/>
      <c r="B23" s="47" t="n"/>
      <c r="C23" s="47" t="n"/>
    </row>
    <row r="24">
      <c r="A24" s="47" t="n"/>
      <c r="B24" s="47" t="n"/>
      <c r="C24" s="47" t="n"/>
    </row>
    <row r="25">
      <c r="A25" s="47" t="n"/>
      <c r="B25" s="47" t="n"/>
      <c r="C25" s="47" t="n"/>
    </row>
    <row r="26">
      <c r="A26" s="47" t="n"/>
      <c r="B26" s="47" t="n"/>
      <c r="C26" s="47" t="n"/>
    </row>
    <row r="27">
      <c r="A27" s="47" t="n"/>
      <c r="B27" s="47" t="n"/>
      <c r="C27" s="47" t="n"/>
    </row>
    <row r="28">
      <c r="A28" s="47" t="n"/>
      <c r="B28" s="47" t="n"/>
      <c r="C28" s="47" t="n"/>
    </row>
    <row r="29">
      <c r="A29" s="47" t="n"/>
      <c r="B29" s="47" t="n"/>
      <c r="C29" s="47" t="n"/>
    </row>
    <row r="30">
      <c r="A30" s="47" t="n"/>
      <c r="B30" s="47" t="n"/>
      <c r="C30" s="47" t="n"/>
    </row>
    <row r="31">
      <c r="A31" s="47" t="n"/>
      <c r="B31" s="47" t="n"/>
      <c r="C31" s="47" t="n"/>
    </row>
    <row r="32">
      <c r="A32" s="47" t="n"/>
      <c r="B32" s="47" t="n"/>
      <c r="C32" s="47" t="n"/>
    </row>
    <row r="33">
      <c r="A33" s="47" t="n"/>
      <c r="B33" s="47" t="n"/>
      <c r="C33" s="47" t="n"/>
    </row>
    <row r="34">
      <c r="A34" s="47" t="n"/>
      <c r="B34" s="47" t="n"/>
      <c r="C34" s="47" t="n"/>
    </row>
    <row r="35">
      <c r="A35" s="47" t="n"/>
      <c r="B35" s="47" t="n"/>
      <c r="C35" s="47" t="n"/>
    </row>
    <row r="36">
      <c r="A36" s="47" t="n"/>
      <c r="B36" s="47" t="n"/>
      <c r="C36" s="47" t="n"/>
    </row>
    <row r="37">
      <c r="A37" s="47" t="n"/>
      <c r="B37" s="47" t="n"/>
      <c r="C37" s="47" t="n"/>
    </row>
    <row r="38">
      <c r="A38" s="47" t="n"/>
      <c r="B38" s="47" t="n"/>
      <c r="C38" s="47" t="n"/>
    </row>
    <row r="39">
      <c r="A39" s="47" t="n"/>
      <c r="B39" s="47" t="n"/>
      <c r="C39" s="47" t="n"/>
    </row>
    <row r="40">
      <c r="A40" s="47" t="n"/>
      <c r="B40" s="47" t="n"/>
      <c r="C40" s="47" t="n"/>
    </row>
    <row r="41">
      <c r="A41" s="47" t="n"/>
      <c r="B41" s="47" t="n"/>
      <c r="C41" s="47" t="n"/>
    </row>
    <row r="42">
      <c r="A42" s="47" t="n"/>
      <c r="B42" s="47" t="n"/>
      <c r="C42" s="47" t="n"/>
    </row>
    <row r="43">
      <c r="A43" s="47" t="n"/>
      <c r="B43" s="47" t="n"/>
      <c r="C43" s="47" t="n"/>
    </row>
  </sheetData>
  <dataValidations count="1">
    <dataValidation sqref="C4:C43" showDropDown="0" showInputMessage="0" showErrorMessage="0" allowBlank="1" type="list">
      <formula1>"USD,BASE"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E9F6E"/>
    <outlinePr summaryBelow="1" summaryRight="1"/>
    <pageSetUpPr/>
  </sheetPr>
  <dimension ref="B2:D2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20" customWidth="1" min="3" max="3"/>
    <col width="20" customWidth="1" min="4" max="4"/>
  </cols>
  <sheetData>
    <row r="2">
      <c r="B2" s="25" t="inlineStr">
        <is>
          <t>این فایل کجا کم می‌آورد؟</t>
        </is>
      </c>
    </row>
    <row r="3">
      <c r="B3" s="50" t="inlineStr">
        <is>
          <t>اکسل برای شروع عالی است. وقتی ثبت دستی وقت‌گیر شد، اوتانا همان کار را خودش می‌کند.</t>
        </is>
      </c>
    </row>
    <row r="5">
      <c r="B5" s="51" t="inlineStr">
        <is>
          <t>قابلیت</t>
        </is>
      </c>
      <c r="C5" s="51" t="inlineStr">
        <is>
          <t>این قالب اکسل</t>
        </is>
      </c>
      <c r="D5" s="51" t="inlineStr">
        <is>
          <t>اوتانا</t>
        </is>
      </c>
    </row>
    <row r="6" ht="26" customHeight="1">
      <c r="B6" s="52" t="inlineStr">
        <is>
          <t>ثبت دستی معامله</t>
        </is>
      </c>
      <c r="C6" s="53" t="inlineStr">
        <is>
          <t>✓</t>
        </is>
      </c>
      <c r="D6" s="53" t="inlineStr">
        <is>
          <t>✓</t>
        </is>
      </c>
    </row>
    <row r="7" ht="26" customHeight="1">
      <c r="B7" s="52" t="inlineStr">
        <is>
          <t>درصد برد، ضریب سود و امید ریاضی</t>
        </is>
      </c>
      <c r="C7" s="53" t="inlineStr">
        <is>
          <t>✓</t>
        </is>
      </c>
      <c r="D7" s="53" t="inlineStr">
        <is>
          <t>✓</t>
        </is>
      </c>
    </row>
    <row r="8" ht="26" customHeight="1">
      <c r="B8" s="52" t="inlineStr">
        <is>
          <t>منحنی سرمایه و نمودار عملکرد</t>
        </is>
      </c>
      <c r="C8" s="53" t="inlineStr">
        <is>
          <t>✓</t>
        </is>
      </c>
      <c r="D8" s="53" t="inlineStr">
        <is>
          <t>✓</t>
        </is>
      </c>
    </row>
    <row r="9" ht="26" customHeight="1">
      <c r="B9" s="52" t="inlineStr">
        <is>
          <t>ورود خودکار معامله‌ها از متاتریدر ۵ (اکسپرت اوتانا)</t>
        </is>
      </c>
      <c r="C9" s="54" t="inlineStr">
        <is>
          <t>✗</t>
        </is>
      </c>
      <c r="D9" s="53" t="inlineStr">
        <is>
          <t>✓</t>
        </is>
      </c>
    </row>
    <row r="10" ht="26" customHeight="1">
      <c r="B10" s="52" t="inlineStr">
        <is>
          <t>وارد کردن فایل گزارش متاتریدر، سی‌تریدر و CSV</t>
        </is>
      </c>
      <c r="C10" s="54" t="inlineStr">
        <is>
          <t>✗</t>
        </is>
      </c>
      <c r="D10" s="53" t="inlineStr">
        <is>
          <t>✓</t>
        </is>
      </c>
    </row>
    <row r="11" ht="26" customHeight="1">
      <c r="B11" s="52" t="inlineStr">
        <is>
          <t>بازبینی معامله با هوش مصنوعی</t>
        </is>
      </c>
      <c r="C11" s="54" t="inlineStr">
        <is>
          <t>✗</t>
        </is>
      </c>
      <c r="D11" s="53" t="inlineStr">
        <is>
          <t>✓</t>
        </is>
      </c>
    </row>
    <row r="12" ht="26" customHeight="1">
      <c r="B12" s="52" t="inlineStr">
        <is>
          <t>تقویم سود و زیان و نمای روزانه</t>
        </is>
      </c>
      <c r="C12" s="54" t="inlineStr">
        <is>
          <t>✗</t>
        </is>
      </c>
      <c r="D12" s="53" t="inlineStr">
        <is>
          <t>✓</t>
        </is>
      </c>
    </row>
    <row r="13" ht="26" customHeight="1">
      <c r="B13" s="52" t="inlineStr">
        <is>
          <t>برچسب و یادداشت برای هر معامله</t>
        </is>
      </c>
      <c r="C13" s="55" t="inlineStr">
        <is>
          <t>یادداشت</t>
        </is>
      </c>
      <c r="D13" s="53" t="inlineStr">
        <is>
          <t>✓</t>
        </is>
      </c>
    </row>
    <row r="14" ht="26" customHeight="1">
      <c r="B14" s="52" t="inlineStr">
        <is>
          <t>چک‌لیست و موتور قوانین پیش از ورود</t>
        </is>
      </c>
      <c r="C14" s="54" t="inlineStr">
        <is>
          <t>✗</t>
        </is>
      </c>
      <c r="D14" s="53" t="inlineStr">
        <is>
          <t>✓</t>
        </is>
      </c>
    </row>
    <row r="15" ht="26" customHeight="1">
      <c r="B15" s="52" t="inlineStr">
        <is>
          <t>ردیابی حساب پراپ (سقف افت و هدف سود)</t>
        </is>
      </c>
      <c r="C15" s="54" t="inlineStr">
        <is>
          <t>✗</t>
        </is>
      </c>
      <c r="D15" s="53" t="inlineStr">
        <is>
          <t>✓</t>
        </is>
      </c>
    </row>
    <row r="16" ht="26" customHeight="1">
      <c r="B16" s="52" t="inlineStr">
        <is>
          <t>گزارش به تفکیک ساعت، روز هفته و نماد</t>
        </is>
      </c>
      <c r="C16" s="54" t="inlineStr">
        <is>
          <t>✗</t>
        </is>
      </c>
      <c r="D16" s="53" t="inlineStr">
        <is>
          <t>✓</t>
        </is>
      </c>
    </row>
    <row r="17" ht="26" customHeight="1">
      <c r="B17" s="52" t="inlineStr">
        <is>
          <t>کار بدون اینترنت</t>
        </is>
      </c>
      <c r="C17" s="53" t="inlineStr">
        <is>
          <t>✓</t>
        </is>
      </c>
      <c r="D17" s="54" t="inlineStr">
        <is>
          <t>✗</t>
        </is>
      </c>
    </row>
    <row r="18" ht="26" customHeight="1">
      <c r="B18" s="52" t="inlineStr">
        <is>
          <t>بدون نیاز به حساب کاربری</t>
        </is>
      </c>
      <c r="C18" s="53" t="inlineStr">
        <is>
          <t>✓</t>
        </is>
      </c>
      <c r="D18" s="54" t="inlineStr">
        <is>
          <t>✗</t>
        </is>
      </c>
    </row>
    <row r="20">
      <c r="B20" s="56" t="inlineStr">
        <is>
          <t>اوتانا را رایگان امتحان کن</t>
        </is>
      </c>
    </row>
    <row r="21">
      <c r="B21" s="57" t="inlineStr">
        <is>
          <t>https://otana.io</t>
        </is>
      </c>
    </row>
    <row r="22">
      <c r="B22" s="9" t="inlineStr">
        <is>
          <t>هفت روز رایگان، با دسترسی کامل به داشبورد.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/>
  </sheetPr>
  <dimension ref="A1:B502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16" customWidth="1" min="2" max="2"/>
  </cols>
  <sheetData>
    <row r="1">
      <c r="A1" s="58" t="inlineStr">
        <is>
          <t>داده‌ی نمودار — نمودار داشبورد از این ستون‌ها می‌خواند. ویرایش نکن.</t>
        </is>
      </c>
    </row>
    <row r="2">
      <c r="A2" s="59" t="inlineStr">
        <is>
          <t>شماره ردیف</t>
        </is>
      </c>
      <c r="B2" s="59" t="inlineStr">
        <is>
          <t>مجموع تجمعی</t>
        </is>
      </c>
    </row>
    <row r="3">
      <c r="A3">
        <f>IF(ISNUMBER('ثبت معامله'!$S$5),1,NA())</f>
        <v/>
      </c>
      <c r="B3" s="60">
        <f>IF(ISNUMBER('ثبت معامله'!$S$5),'ثبت معامله'!$S$5,NA())</f>
        <v/>
      </c>
    </row>
    <row r="4">
      <c r="A4">
        <f>IF(ISNUMBER('ثبت معامله'!$S$6),2,NA())</f>
        <v/>
      </c>
      <c r="B4" s="60">
        <f>IF(ISNUMBER('ثبت معامله'!$S$6),'ثبت معامله'!$S$6,NA())</f>
        <v/>
      </c>
    </row>
    <row r="5">
      <c r="A5">
        <f>IF(ISNUMBER('ثبت معامله'!$S$7),3,NA())</f>
        <v/>
      </c>
      <c r="B5" s="60">
        <f>IF(ISNUMBER('ثبت معامله'!$S$7),'ثبت معامله'!$S$7,NA())</f>
        <v/>
      </c>
    </row>
    <row r="6">
      <c r="A6">
        <f>IF(ISNUMBER('ثبت معامله'!$S$8),4,NA())</f>
        <v/>
      </c>
      <c r="B6" s="60">
        <f>IF(ISNUMBER('ثبت معامله'!$S$8),'ثبت معامله'!$S$8,NA())</f>
        <v/>
      </c>
    </row>
    <row r="7">
      <c r="A7">
        <f>IF(ISNUMBER('ثبت معامله'!$S$9),5,NA())</f>
        <v/>
      </c>
      <c r="B7" s="60">
        <f>IF(ISNUMBER('ثبت معامله'!$S$9),'ثبت معامله'!$S$9,NA())</f>
        <v/>
      </c>
    </row>
    <row r="8">
      <c r="A8">
        <f>IF(ISNUMBER('ثبت معامله'!$S$10),6,NA())</f>
        <v/>
      </c>
      <c r="B8" s="60">
        <f>IF(ISNUMBER('ثبت معامله'!$S$10),'ثبت معامله'!$S$10,NA())</f>
        <v/>
      </c>
    </row>
    <row r="9">
      <c r="A9">
        <f>IF(ISNUMBER('ثبت معامله'!$S$11),7,NA())</f>
        <v/>
      </c>
      <c r="B9" s="60">
        <f>IF(ISNUMBER('ثبت معامله'!$S$11),'ثبت معامله'!$S$11,NA())</f>
        <v/>
      </c>
    </row>
    <row r="10">
      <c r="A10">
        <f>IF(ISNUMBER('ثبت معامله'!$S$12),8,NA())</f>
        <v/>
      </c>
      <c r="B10" s="60">
        <f>IF(ISNUMBER('ثبت معامله'!$S$12),'ثبت معامله'!$S$12,NA())</f>
        <v/>
      </c>
    </row>
    <row r="11">
      <c r="A11">
        <f>IF(ISNUMBER('ثبت معامله'!$S$13),9,NA())</f>
        <v/>
      </c>
      <c r="B11" s="60">
        <f>IF(ISNUMBER('ثبت معامله'!$S$13),'ثبت معامله'!$S$13,NA())</f>
        <v/>
      </c>
    </row>
    <row r="12">
      <c r="A12">
        <f>IF(ISNUMBER('ثبت معامله'!$S$14),10,NA())</f>
        <v/>
      </c>
      <c r="B12" s="60">
        <f>IF(ISNUMBER('ثبت معامله'!$S$14),'ثبت معامله'!$S$14,NA())</f>
        <v/>
      </c>
    </row>
    <row r="13">
      <c r="A13">
        <f>IF(ISNUMBER('ثبت معامله'!$S$15),11,NA())</f>
        <v/>
      </c>
      <c r="B13" s="60">
        <f>IF(ISNUMBER('ثبت معامله'!$S$15),'ثبت معامله'!$S$15,NA())</f>
        <v/>
      </c>
    </row>
    <row r="14">
      <c r="A14">
        <f>IF(ISNUMBER('ثبت معامله'!$S$16),12,NA())</f>
        <v/>
      </c>
      <c r="B14" s="60">
        <f>IF(ISNUMBER('ثبت معامله'!$S$16),'ثبت معامله'!$S$16,NA())</f>
        <v/>
      </c>
    </row>
    <row r="15">
      <c r="A15">
        <f>IF(ISNUMBER('ثبت معامله'!$S$17),13,NA())</f>
        <v/>
      </c>
      <c r="B15" s="60">
        <f>IF(ISNUMBER('ثبت معامله'!$S$17),'ثبت معامله'!$S$17,NA())</f>
        <v/>
      </c>
    </row>
    <row r="16">
      <c r="A16">
        <f>IF(ISNUMBER('ثبت معامله'!$S$18),14,NA())</f>
        <v/>
      </c>
      <c r="B16" s="60">
        <f>IF(ISNUMBER('ثبت معامله'!$S$18),'ثبت معامله'!$S$18,NA())</f>
        <v/>
      </c>
    </row>
    <row r="17">
      <c r="A17">
        <f>IF(ISNUMBER('ثبت معامله'!$S$19),15,NA())</f>
        <v/>
      </c>
      <c r="B17" s="60">
        <f>IF(ISNUMBER('ثبت معامله'!$S$19),'ثبت معامله'!$S$19,NA())</f>
        <v/>
      </c>
    </row>
    <row r="18">
      <c r="A18">
        <f>IF(ISNUMBER('ثبت معامله'!$S$20),16,NA())</f>
        <v/>
      </c>
      <c r="B18" s="60">
        <f>IF(ISNUMBER('ثبت معامله'!$S$20),'ثبت معامله'!$S$20,NA())</f>
        <v/>
      </c>
    </row>
    <row r="19">
      <c r="A19">
        <f>IF(ISNUMBER('ثبت معامله'!$S$21),17,NA())</f>
        <v/>
      </c>
      <c r="B19" s="60">
        <f>IF(ISNUMBER('ثبت معامله'!$S$21),'ثبت معامله'!$S$21,NA())</f>
        <v/>
      </c>
    </row>
    <row r="20">
      <c r="A20">
        <f>IF(ISNUMBER('ثبت معامله'!$S$22),18,NA())</f>
        <v/>
      </c>
      <c r="B20" s="60">
        <f>IF(ISNUMBER('ثبت معامله'!$S$22),'ثبت معامله'!$S$22,NA())</f>
        <v/>
      </c>
    </row>
    <row r="21">
      <c r="A21">
        <f>IF(ISNUMBER('ثبت معامله'!$S$23),19,NA())</f>
        <v/>
      </c>
      <c r="B21" s="60">
        <f>IF(ISNUMBER('ثبت معامله'!$S$23),'ثبت معامله'!$S$23,NA())</f>
        <v/>
      </c>
    </row>
    <row r="22">
      <c r="A22">
        <f>IF(ISNUMBER('ثبت معامله'!$S$24),20,NA())</f>
        <v/>
      </c>
      <c r="B22" s="60">
        <f>IF(ISNUMBER('ثبت معامله'!$S$24),'ثبت معامله'!$S$24,NA())</f>
        <v/>
      </c>
    </row>
    <row r="23">
      <c r="A23">
        <f>IF(ISNUMBER('ثبت معامله'!$S$25),21,NA())</f>
        <v/>
      </c>
      <c r="B23" s="60">
        <f>IF(ISNUMBER('ثبت معامله'!$S$25),'ثبت معامله'!$S$25,NA())</f>
        <v/>
      </c>
    </row>
    <row r="24">
      <c r="A24">
        <f>IF(ISNUMBER('ثبت معامله'!$S$26),22,NA())</f>
        <v/>
      </c>
      <c r="B24" s="60">
        <f>IF(ISNUMBER('ثبت معامله'!$S$26),'ثبت معامله'!$S$26,NA())</f>
        <v/>
      </c>
    </row>
    <row r="25">
      <c r="A25">
        <f>IF(ISNUMBER('ثبت معامله'!$S$27),23,NA())</f>
        <v/>
      </c>
      <c r="B25" s="60">
        <f>IF(ISNUMBER('ثبت معامله'!$S$27),'ثبت معامله'!$S$27,NA())</f>
        <v/>
      </c>
    </row>
    <row r="26">
      <c r="A26">
        <f>IF(ISNUMBER('ثبت معامله'!$S$28),24,NA())</f>
        <v/>
      </c>
      <c r="B26" s="60">
        <f>IF(ISNUMBER('ثبت معامله'!$S$28),'ثبت معامله'!$S$28,NA())</f>
        <v/>
      </c>
    </row>
    <row r="27">
      <c r="A27">
        <f>IF(ISNUMBER('ثبت معامله'!$S$29),25,NA())</f>
        <v/>
      </c>
      <c r="B27" s="60">
        <f>IF(ISNUMBER('ثبت معامله'!$S$29),'ثبت معامله'!$S$29,NA())</f>
        <v/>
      </c>
    </row>
    <row r="28">
      <c r="A28">
        <f>IF(ISNUMBER('ثبت معامله'!$S$30),26,NA())</f>
        <v/>
      </c>
      <c r="B28" s="60">
        <f>IF(ISNUMBER('ثبت معامله'!$S$30),'ثبت معامله'!$S$30,NA())</f>
        <v/>
      </c>
    </row>
    <row r="29">
      <c r="A29">
        <f>IF(ISNUMBER('ثبت معامله'!$S$31),27,NA())</f>
        <v/>
      </c>
      <c r="B29" s="60">
        <f>IF(ISNUMBER('ثبت معامله'!$S$31),'ثبت معامله'!$S$31,NA())</f>
        <v/>
      </c>
    </row>
    <row r="30">
      <c r="A30">
        <f>IF(ISNUMBER('ثبت معامله'!$S$32),28,NA())</f>
        <v/>
      </c>
      <c r="B30" s="60">
        <f>IF(ISNUMBER('ثبت معامله'!$S$32),'ثبت معامله'!$S$32,NA())</f>
        <v/>
      </c>
    </row>
    <row r="31">
      <c r="A31">
        <f>IF(ISNUMBER('ثبت معامله'!$S$33),29,NA())</f>
        <v/>
      </c>
      <c r="B31" s="60">
        <f>IF(ISNUMBER('ثبت معامله'!$S$33),'ثبت معامله'!$S$33,NA())</f>
        <v/>
      </c>
    </row>
    <row r="32">
      <c r="A32">
        <f>IF(ISNUMBER('ثبت معامله'!$S$34),30,NA())</f>
        <v/>
      </c>
      <c r="B32" s="60">
        <f>IF(ISNUMBER('ثبت معامله'!$S$34),'ثبت معامله'!$S$34,NA())</f>
        <v/>
      </c>
    </row>
    <row r="33">
      <c r="A33">
        <f>IF(ISNUMBER('ثبت معامله'!$S$35),31,NA())</f>
        <v/>
      </c>
      <c r="B33" s="60">
        <f>IF(ISNUMBER('ثبت معامله'!$S$35),'ثبت معامله'!$S$35,NA())</f>
        <v/>
      </c>
    </row>
    <row r="34">
      <c r="A34">
        <f>IF(ISNUMBER('ثبت معامله'!$S$36),32,NA())</f>
        <v/>
      </c>
      <c r="B34" s="60">
        <f>IF(ISNUMBER('ثبت معامله'!$S$36),'ثبت معامله'!$S$36,NA())</f>
        <v/>
      </c>
    </row>
    <row r="35">
      <c r="A35">
        <f>IF(ISNUMBER('ثبت معامله'!$S$37),33,NA())</f>
        <v/>
      </c>
      <c r="B35" s="60">
        <f>IF(ISNUMBER('ثبت معامله'!$S$37),'ثبت معامله'!$S$37,NA())</f>
        <v/>
      </c>
    </row>
    <row r="36">
      <c r="A36">
        <f>IF(ISNUMBER('ثبت معامله'!$S$38),34,NA())</f>
        <v/>
      </c>
      <c r="B36" s="60">
        <f>IF(ISNUMBER('ثبت معامله'!$S$38),'ثبت معامله'!$S$38,NA())</f>
        <v/>
      </c>
    </row>
    <row r="37">
      <c r="A37">
        <f>IF(ISNUMBER('ثبت معامله'!$S$39),35,NA())</f>
        <v/>
      </c>
      <c r="B37" s="60">
        <f>IF(ISNUMBER('ثبت معامله'!$S$39),'ثبت معامله'!$S$39,NA())</f>
        <v/>
      </c>
    </row>
    <row r="38">
      <c r="A38">
        <f>IF(ISNUMBER('ثبت معامله'!$S$40),36,NA())</f>
        <v/>
      </c>
      <c r="B38" s="60">
        <f>IF(ISNUMBER('ثبت معامله'!$S$40),'ثبت معامله'!$S$40,NA())</f>
        <v/>
      </c>
    </row>
    <row r="39">
      <c r="A39">
        <f>IF(ISNUMBER('ثبت معامله'!$S$41),37,NA())</f>
        <v/>
      </c>
      <c r="B39" s="60">
        <f>IF(ISNUMBER('ثبت معامله'!$S$41),'ثبت معامله'!$S$41,NA())</f>
        <v/>
      </c>
    </row>
    <row r="40">
      <c r="A40">
        <f>IF(ISNUMBER('ثبت معامله'!$S$42),38,NA())</f>
        <v/>
      </c>
      <c r="B40" s="60">
        <f>IF(ISNUMBER('ثبت معامله'!$S$42),'ثبت معامله'!$S$42,NA())</f>
        <v/>
      </c>
    </row>
    <row r="41">
      <c r="A41">
        <f>IF(ISNUMBER('ثبت معامله'!$S$43),39,NA())</f>
        <v/>
      </c>
      <c r="B41" s="60">
        <f>IF(ISNUMBER('ثبت معامله'!$S$43),'ثبت معامله'!$S$43,NA())</f>
        <v/>
      </c>
    </row>
    <row r="42">
      <c r="A42">
        <f>IF(ISNUMBER('ثبت معامله'!$S$44),40,NA())</f>
        <v/>
      </c>
      <c r="B42" s="60">
        <f>IF(ISNUMBER('ثبت معامله'!$S$44),'ثبت معامله'!$S$44,NA())</f>
        <v/>
      </c>
    </row>
    <row r="43">
      <c r="A43">
        <f>IF(ISNUMBER('ثبت معامله'!$S$45),41,NA())</f>
        <v/>
      </c>
      <c r="B43" s="60">
        <f>IF(ISNUMBER('ثبت معامله'!$S$45),'ثبت معامله'!$S$45,NA())</f>
        <v/>
      </c>
    </row>
    <row r="44">
      <c r="A44">
        <f>IF(ISNUMBER('ثبت معامله'!$S$46),42,NA())</f>
        <v/>
      </c>
      <c r="B44" s="60">
        <f>IF(ISNUMBER('ثبت معامله'!$S$46),'ثبت معامله'!$S$46,NA())</f>
        <v/>
      </c>
    </row>
    <row r="45">
      <c r="A45">
        <f>IF(ISNUMBER('ثبت معامله'!$S$47),43,NA())</f>
        <v/>
      </c>
      <c r="B45" s="60">
        <f>IF(ISNUMBER('ثبت معامله'!$S$47),'ثبت معامله'!$S$47,NA())</f>
        <v/>
      </c>
    </row>
    <row r="46">
      <c r="A46">
        <f>IF(ISNUMBER('ثبت معامله'!$S$48),44,NA())</f>
        <v/>
      </c>
      <c r="B46" s="60">
        <f>IF(ISNUMBER('ثبت معامله'!$S$48),'ثبت معامله'!$S$48,NA())</f>
        <v/>
      </c>
    </row>
    <row r="47">
      <c r="A47">
        <f>IF(ISNUMBER('ثبت معامله'!$S$49),45,NA())</f>
        <v/>
      </c>
      <c r="B47" s="60">
        <f>IF(ISNUMBER('ثبت معامله'!$S$49),'ثبت معامله'!$S$49,NA())</f>
        <v/>
      </c>
    </row>
    <row r="48">
      <c r="A48">
        <f>IF(ISNUMBER('ثبت معامله'!$S$50),46,NA())</f>
        <v/>
      </c>
      <c r="B48" s="60">
        <f>IF(ISNUMBER('ثبت معامله'!$S$50),'ثبت معامله'!$S$50,NA())</f>
        <v/>
      </c>
    </row>
    <row r="49">
      <c r="A49">
        <f>IF(ISNUMBER('ثبت معامله'!$S$51),47,NA())</f>
        <v/>
      </c>
      <c r="B49" s="60">
        <f>IF(ISNUMBER('ثبت معامله'!$S$51),'ثبت معامله'!$S$51,NA())</f>
        <v/>
      </c>
    </row>
    <row r="50">
      <c r="A50">
        <f>IF(ISNUMBER('ثبت معامله'!$S$52),48,NA())</f>
        <v/>
      </c>
      <c r="B50" s="60">
        <f>IF(ISNUMBER('ثبت معامله'!$S$52),'ثبت معامله'!$S$52,NA())</f>
        <v/>
      </c>
    </row>
    <row r="51">
      <c r="A51">
        <f>IF(ISNUMBER('ثبت معامله'!$S$53),49,NA())</f>
        <v/>
      </c>
      <c r="B51" s="60">
        <f>IF(ISNUMBER('ثبت معامله'!$S$53),'ثبت معامله'!$S$53,NA())</f>
        <v/>
      </c>
    </row>
    <row r="52">
      <c r="A52">
        <f>IF(ISNUMBER('ثبت معامله'!$S$54),50,NA())</f>
        <v/>
      </c>
      <c r="B52" s="60">
        <f>IF(ISNUMBER('ثبت معامله'!$S$54),'ثبت معامله'!$S$54,NA())</f>
        <v/>
      </c>
    </row>
    <row r="53">
      <c r="A53">
        <f>IF(ISNUMBER('ثبت معامله'!$S$55),51,NA())</f>
        <v/>
      </c>
      <c r="B53" s="60">
        <f>IF(ISNUMBER('ثبت معامله'!$S$55),'ثبت معامله'!$S$55,NA())</f>
        <v/>
      </c>
    </row>
    <row r="54">
      <c r="A54">
        <f>IF(ISNUMBER('ثبت معامله'!$S$56),52,NA())</f>
        <v/>
      </c>
      <c r="B54" s="60">
        <f>IF(ISNUMBER('ثبت معامله'!$S$56),'ثبت معامله'!$S$56,NA())</f>
        <v/>
      </c>
    </row>
    <row r="55">
      <c r="A55">
        <f>IF(ISNUMBER('ثبت معامله'!$S$57),53,NA())</f>
        <v/>
      </c>
      <c r="B55" s="60">
        <f>IF(ISNUMBER('ثبت معامله'!$S$57),'ثبت معامله'!$S$57,NA())</f>
        <v/>
      </c>
    </row>
    <row r="56">
      <c r="A56">
        <f>IF(ISNUMBER('ثبت معامله'!$S$58),54,NA())</f>
        <v/>
      </c>
      <c r="B56" s="60">
        <f>IF(ISNUMBER('ثبت معامله'!$S$58),'ثبت معامله'!$S$58,NA())</f>
        <v/>
      </c>
    </row>
    <row r="57">
      <c r="A57">
        <f>IF(ISNUMBER('ثبت معامله'!$S$59),55,NA())</f>
        <v/>
      </c>
      <c r="B57" s="60">
        <f>IF(ISNUMBER('ثبت معامله'!$S$59),'ثبت معامله'!$S$59,NA())</f>
        <v/>
      </c>
    </row>
    <row r="58">
      <c r="A58">
        <f>IF(ISNUMBER('ثبت معامله'!$S$60),56,NA())</f>
        <v/>
      </c>
      <c r="B58" s="60">
        <f>IF(ISNUMBER('ثبت معامله'!$S$60),'ثبت معامله'!$S$60,NA())</f>
        <v/>
      </c>
    </row>
    <row r="59">
      <c r="A59">
        <f>IF(ISNUMBER('ثبت معامله'!$S$61),57,NA())</f>
        <v/>
      </c>
      <c r="B59" s="60">
        <f>IF(ISNUMBER('ثبت معامله'!$S$61),'ثبت معامله'!$S$61,NA())</f>
        <v/>
      </c>
    </row>
    <row r="60">
      <c r="A60">
        <f>IF(ISNUMBER('ثبت معامله'!$S$62),58,NA())</f>
        <v/>
      </c>
      <c r="B60" s="60">
        <f>IF(ISNUMBER('ثبت معامله'!$S$62),'ثبت معامله'!$S$62,NA())</f>
        <v/>
      </c>
    </row>
    <row r="61">
      <c r="A61">
        <f>IF(ISNUMBER('ثبت معامله'!$S$63),59,NA())</f>
        <v/>
      </c>
      <c r="B61" s="60">
        <f>IF(ISNUMBER('ثبت معامله'!$S$63),'ثبت معامله'!$S$63,NA())</f>
        <v/>
      </c>
    </row>
    <row r="62">
      <c r="A62">
        <f>IF(ISNUMBER('ثبت معامله'!$S$64),60,NA())</f>
        <v/>
      </c>
      <c r="B62" s="60">
        <f>IF(ISNUMBER('ثبت معامله'!$S$64),'ثبت معامله'!$S$64,NA())</f>
        <v/>
      </c>
    </row>
    <row r="63">
      <c r="A63">
        <f>IF(ISNUMBER('ثبت معامله'!$S$65),61,NA())</f>
        <v/>
      </c>
      <c r="B63" s="60">
        <f>IF(ISNUMBER('ثبت معامله'!$S$65),'ثبت معامله'!$S$65,NA())</f>
        <v/>
      </c>
    </row>
    <row r="64">
      <c r="A64">
        <f>IF(ISNUMBER('ثبت معامله'!$S$66),62,NA())</f>
        <v/>
      </c>
      <c r="B64" s="60">
        <f>IF(ISNUMBER('ثبت معامله'!$S$66),'ثبت معامله'!$S$66,NA())</f>
        <v/>
      </c>
    </row>
    <row r="65">
      <c r="A65">
        <f>IF(ISNUMBER('ثبت معامله'!$S$67),63,NA())</f>
        <v/>
      </c>
      <c r="B65" s="60">
        <f>IF(ISNUMBER('ثبت معامله'!$S$67),'ثبت معامله'!$S$67,NA())</f>
        <v/>
      </c>
    </row>
    <row r="66">
      <c r="A66">
        <f>IF(ISNUMBER('ثبت معامله'!$S$68),64,NA())</f>
        <v/>
      </c>
      <c r="B66" s="60">
        <f>IF(ISNUMBER('ثبت معامله'!$S$68),'ثبت معامله'!$S$68,NA())</f>
        <v/>
      </c>
    </row>
    <row r="67">
      <c r="A67">
        <f>IF(ISNUMBER('ثبت معامله'!$S$69),65,NA())</f>
        <v/>
      </c>
      <c r="B67" s="60">
        <f>IF(ISNUMBER('ثبت معامله'!$S$69),'ثبت معامله'!$S$69,NA())</f>
        <v/>
      </c>
    </row>
    <row r="68">
      <c r="A68">
        <f>IF(ISNUMBER('ثبت معامله'!$S$70),66,NA())</f>
        <v/>
      </c>
      <c r="B68" s="60">
        <f>IF(ISNUMBER('ثبت معامله'!$S$70),'ثبت معامله'!$S$70,NA())</f>
        <v/>
      </c>
    </row>
    <row r="69">
      <c r="A69">
        <f>IF(ISNUMBER('ثبت معامله'!$S$71),67,NA())</f>
        <v/>
      </c>
      <c r="B69" s="60">
        <f>IF(ISNUMBER('ثبت معامله'!$S$71),'ثبت معامله'!$S$71,NA())</f>
        <v/>
      </c>
    </row>
    <row r="70">
      <c r="A70">
        <f>IF(ISNUMBER('ثبت معامله'!$S$72),68,NA())</f>
        <v/>
      </c>
      <c r="B70" s="60">
        <f>IF(ISNUMBER('ثبت معامله'!$S$72),'ثبت معامله'!$S$72,NA())</f>
        <v/>
      </c>
    </row>
    <row r="71">
      <c r="A71">
        <f>IF(ISNUMBER('ثبت معامله'!$S$73),69,NA())</f>
        <v/>
      </c>
      <c r="B71" s="60">
        <f>IF(ISNUMBER('ثبت معامله'!$S$73),'ثبت معامله'!$S$73,NA())</f>
        <v/>
      </c>
    </row>
    <row r="72">
      <c r="A72">
        <f>IF(ISNUMBER('ثبت معامله'!$S$74),70,NA())</f>
        <v/>
      </c>
      <c r="B72" s="60">
        <f>IF(ISNUMBER('ثبت معامله'!$S$74),'ثبت معامله'!$S$74,NA())</f>
        <v/>
      </c>
    </row>
    <row r="73">
      <c r="A73">
        <f>IF(ISNUMBER('ثبت معامله'!$S$75),71,NA())</f>
        <v/>
      </c>
      <c r="B73" s="60">
        <f>IF(ISNUMBER('ثبت معامله'!$S$75),'ثبت معامله'!$S$75,NA())</f>
        <v/>
      </c>
    </row>
    <row r="74">
      <c r="A74">
        <f>IF(ISNUMBER('ثبت معامله'!$S$76),72,NA())</f>
        <v/>
      </c>
      <c r="B74" s="60">
        <f>IF(ISNUMBER('ثبت معامله'!$S$76),'ثبت معامله'!$S$76,NA())</f>
        <v/>
      </c>
    </row>
    <row r="75">
      <c r="A75">
        <f>IF(ISNUMBER('ثبت معامله'!$S$77),73,NA())</f>
        <v/>
      </c>
      <c r="B75" s="60">
        <f>IF(ISNUMBER('ثبت معامله'!$S$77),'ثبت معامله'!$S$77,NA())</f>
        <v/>
      </c>
    </row>
    <row r="76">
      <c r="A76">
        <f>IF(ISNUMBER('ثبت معامله'!$S$78),74,NA())</f>
        <v/>
      </c>
      <c r="B76" s="60">
        <f>IF(ISNUMBER('ثبت معامله'!$S$78),'ثبت معامله'!$S$78,NA())</f>
        <v/>
      </c>
    </row>
    <row r="77">
      <c r="A77">
        <f>IF(ISNUMBER('ثبت معامله'!$S$79),75,NA())</f>
        <v/>
      </c>
      <c r="B77" s="60">
        <f>IF(ISNUMBER('ثبت معامله'!$S$79),'ثبت معامله'!$S$79,NA())</f>
        <v/>
      </c>
    </row>
    <row r="78">
      <c r="A78">
        <f>IF(ISNUMBER('ثبت معامله'!$S$80),76,NA())</f>
        <v/>
      </c>
      <c r="B78" s="60">
        <f>IF(ISNUMBER('ثبت معامله'!$S$80),'ثبت معامله'!$S$80,NA())</f>
        <v/>
      </c>
    </row>
    <row r="79">
      <c r="A79">
        <f>IF(ISNUMBER('ثبت معامله'!$S$81),77,NA())</f>
        <v/>
      </c>
      <c r="B79" s="60">
        <f>IF(ISNUMBER('ثبت معامله'!$S$81),'ثبت معامله'!$S$81,NA())</f>
        <v/>
      </c>
    </row>
    <row r="80">
      <c r="A80">
        <f>IF(ISNUMBER('ثبت معامله'!$S$82),78,NA())</f>
        <v/>
      </c>
      <c r="B80" s="60">
        <f>IF(ISNUMBER('ثبت معامله'!$S$82),'ثبت معامله'!$S$82,NA())</f>
        <v/>
      </c>
    </row>
    <row r="81">
      <c r="A81">
        <f>IF(ISNUMBER('ثبت معامله'!$S$83),79,NA())</f>
        <v/>
      </c>
      <c r="B81" s="60">
        <f>IF(ISNUMBER('ثبت معامله'!$S$83),'ثبت معامله'!$S$83,NA())</f>
        <v/>
      </c>
    </row>
    <row r="82">
      <c r="A82">
        <f>IF(ISNUMBER('ثبت معامله'!$S$84),80,NA())</f>
        <v/>
      </c>
      <c r="B82" s="60">
        <f>IF(ISNUMBER('ثبت معامله'!$S$84),'ثبت معامله'!$S$84,NA())</f>
        <v/>
      </c>
    </row>
    <row r="83">
      <c r="A83">
        <f>IF(ISNUMBER('ثبت معامله'!$S$85),81,NA())</f>
        <v/>
      </c>
      <c r="B83" s="60">
        <f>IF(ISNUMBER('ثبت معامله'!$S$85),'ثبت معامله'!$S$85,NA())</f>
        <v/>
      </c>
    </row>
    <row r="84">
      <c r="A84">
        <f>IF(ISNUMBER('ثبت معامله'!$S$86),82,NA())</f>
        <v/>
      </c>
      <c r="B84" s="60">
        <f>IF(ISNUMBER('ثبت معامله'!$S$86),'ثبت معامله'!$S$86,NA())</f>
        <v/>
      </c>
    </row>
    <row r="85">
      <c r="A85">
        <f>IF(ISNUMBER('ثبت معامله'!$S$87),83,NA())</f>
        <v/>
      </c>
      <c r="B85" s="60">
        <f>IF(ISNUMBER('ثبت معامله'!$S$87),'ثبت معامله'!$S$87,NA())</f>
        <v/>
      </c>
    </row>
    <row r="86">
      <c r="A86">
        <f>IF(ISNUMBER('ثبت معامله'!$S$88),84,NA())</f>
        <v/>
      </c>
      <c r="B86" s="60">
        <f>IF(ISNUMBER('ثبت معامله'!$S$88),'ثبت معامله'!$S$88,NA())</f>
        <v/>
      </c>
    </row>
    <row r="87">
      <c r="A87">
        <f>IF(ISNUMBER('ثبت معامله'!$S$89),85,NA())</f>
        <v/>
      </c>
      <c r="B87" s="60">
        <f>IF(ISNUMBER('ثبت معامله'!$S$89),'ثبت معامله'!$S$89,NA())</f>
        <v/>
      </c>
    </row>
    <row r="88">
      <c r="A88">
        <f>IF(ISNUMBER('ثبت معامله'!$S$90),86,NA())</f>
        <v/>
      </c>
      <c r="B88" s="60">
        <f>IF(ISNUMBER('ثبت معامله'!$S$90),'ثبت معامله'!$S$90,NA())</f>
        <v/>
      </c>
    </row>
    <row r="89">
      <c r="A89">
        <f>IF(ISNUMBER('ثبت معامله'!$S$91),87,NA())</f>
        <v/>
      </c>
      <c r="B89" s="60">
        <f>IF(ISNUMBER('ثبت معامله'!$S$91),'ثبت معامله'!$S$91,NA())</f>
        <v/>
      </c>
    </row>
    <row r="90">
      <c r="A90">
        <f>IF(ISNUMBER('ثبت معامله'!$S$92),88,NA())</f>
        <v/>
      </c>
      <c r="B90" s="60">
        <f>IF(ISNUMBER('ثبت معامله'!$S$92),'ثبت معامله'!$S$92,NA())</f>
        <v/>
      </c>
    </row>
    <row r="91">
      <c r="A91">
        <f>IF(ISNUMBER('ثبت معامله'!$S$93),89,NA())</f>
        <v/>
      </c>
      <c r="B91" s="60">
        <f>IF(ISNUMBER('ثبت معامله'!$S$93),'ثبت معامله'!$S$93,NA())</f>
        <v/>
      </c>
    </row>
    <row r="92">
      <c r="A92">
        <f>IF(ISNUMBER('ثبت معامله'!$S$94),90,NA())</f>
        <v/>
      </c>
      <c r="B92" s="60">
        <f>IF(ISNUMBER('ثبت معامله'!$S$94),'ثبت معامله'!$S$94,NA())</f>
        <v/>
      </c>
    </row>
    <row r="93">
      <c r="A93">
        <f>IF(ISNUMBER('ثبت معامله'!$S$95),91,NA())</f>
        <v/>
      </c>
      <c r="B93" s="60">
        <f>IF(ISNUMBER('ثبت معامله'!$S$95),'ثبت معامله'!$S$95,NA())</f>
        <v/>
      </c>
    </row>
    <row r="94">
      <c r="A94">
        <f>IF(ISNUMBER('ثبت معامله'!$S$96),92,NA())</f>
        <v/>
      </c>
      <c r="B94" s="60">
        <f>IF(ISNUMBER('ثبت معامله'!$S$96),'ثبت معامله'!$S$96,NA())</f>
        <v/>
      </c>
    </row>
    <row r="95">
      <c r="A95">
        <f>IF(ISNUMBER('ثبت معامله'!$S$97),93,NA())</f>
        <v/>
      </c>
      <c r="B95" s="60">
        <f>IF(ISNUMBER('ثبت معامله'!$S$97),'ثبت معامله'!$S$97,NA())</f>
        <v/>
      </c>
    </row>
    <row r="96">
      <c r="A96">
        <f>IF(ISNUMBER('ثبت معامله'!$S$98),94,NA())</f>
        <v/>
      </c>
      <c r="B96" s="60">
        <f>IF(ISNUMBER('ثبت معامله'!$S$98),'ثبت معامله'!$S$98,NA())</f>
        <v/>
      </c>
    </row>
    <row r="97">
      <c r="A97">
        <f>IF(ISNUMBER('ثبت معامله'!$S$99),95,NA())</f>
        <v/>
      </c>
      <c r="B97" s="60">
        <f>IF(ISNUMBER('ثبت معامله'!$S$99),'ثبت معامله'!$S$99,NA())</f>
        <v/>
      </c>
    </row>
    <row r="98">
      <c r="A98">
        <f>IF(ISNUMBER('ثبت معامله'!$S$100),96,NA())</f>
        <v/>
      </c>
      <c r="B98" s="60">
        <f>IF(ISNUMBER('ثبت معامله'!$S$100),'ثبت معامله'!$S$100,NA())</f>
        <v/>
      </c>
    </row>
    <row r="99">
      <c r="A99">
        <f>IF(ISNUMBER('ثبت معامله'!$S$101),97,NA())</f>
        <v/>
      </c>
      <c r="B99" s="60">
        <f>IF(ISNUMBER('ثبت معامله'!$S$101),'ثبت معامله'!$S$101,NA())</f>
        <v/>
      </c>
    </row>
    <row r="100">
      <c r="A100">
        <f>IF(ISNUMBER('ثبت معامله'!$S$102),98,NA())</f>
        <v/>
      </c>
      <c r="B100" s="60">
        <f>IF(ISNUMBER('ثبت معامله'!$S$102),'ثبت معامله'!$S$102,NA())</f>
        <v/>
      </c>
    </row>
    <row r="101">
      <c r="A101">
        <f>IF(ISNUMBER('ثبت معامله'!$S$103),99,NA())</f>
        <v/>
      </c>
      <c r="B101" s="60">
        <f>IF(ISNUMBER('ثبت معامله'!$S$103),'ثبت معامله'!$S$103,NA())</f>
        <v/>
      </c>
    </row>
    <row r="102">
      <c r="A102">
        <f>IF(ISNUMBER('ثبت معامله'!$S$104),100,NA())</f>
        <v/>
      </c>
      <c r="B102" s="60">
        <f>IF(ISNUMBER('ثبت معامله'!$S$104),'ثبت معامله'!$S$104,NA())</f>
        <v/>
      </c>
    </row>
    <row r="103">
      <c r="A103">
        <f>IF(ISNUMBER('ثبت معامله'!$S$105),101,NA())</f>
        <v/>
      </c>
      <c r="B103" s="60">
        <f>IF(ISNUMBER('ثبت معامله'!$S$105),'ثبت معامله'!$S$105,NA())</f>
        <v/>
      </c>
    </row>
    <row r="104">
      <c r="A104">
        <f>IF(ISNUMBER('ثبت معامله'!$S$106),102,NA())</f>
        <v/>
      </c>
      <c r="B104" s="60">
        <f>IF(ISNUMBER('ثبت معامله'!$S$106),'ثبت معامله'!$S$106,NA())</f>
        <v/>
      </c>
    </row>
    <row r="105">
      <c r="A105">
        <f>IF(ISNUMBER('ثبت معامله'!$S$107),103,NA())</f>
        <v/>
      </c>
      <c r="B105" s="60">
        <f>IF(ISNUMBER('ثبت معامله'!$S$107),'ثبت معامله'!$S$107,NA())</f>
        <v/>
      </c>
    </row>
    <row r="106">
      <c r="A106">
        <f>IF(ISNUMBER('ثبت معامله'!$S$108),104,NA())</f>
        <v/>
      </c>
      <c r="B106" s="60">
        <f>IF(ISNUMBER('ثبت معامله'!$S$108),'ثبت معامله'!$S$108,NA())</f>
        <v/>
      </c>
    </row>
    <row r="107">
      <c r="A107">
        <f>IF(ISNUMBER('ثبت معامله'!$S$109),105,NA())</f>
        <v/>
      </c>
      <c r="B107" s="60">
        <f>IF(ISNUMBER('ثبت معامله'!$S$109),'ثبت معامله'!$S$109,NA())</f>
        <v/>
      </c>
    </row>
    <row r="108">
      <c r="A108">
        <f>IF(ISNUMBER('ثبت معامله'!$S$110),106,NA())</f>
        <v/>
      </c>
      <c r="B108" s="60">
        <f>IF(ISNUMBER('ثبت معامله'!$S$110),'ثبت معامله'!$S$110,NA())</f>
        <v/>
      </c>
    </row>
    <row r="109">
      <c r="A109">
        <f>IF(ISNUMBER('ثبت معامله'!$S$111),107,NA())</f>
        <v/>
      </c>
      <c r="B109" s="60">
        <f>IF(ISNUMBER('ثبت معامله'!$S$111),'ثبت معامله'!$S$111,NA())</f>
        <v/>
      </c>
    </row>
    <row r="110">
      <c r="A110">
        <f>IF(ISNUMBER('ثبت معامله'!$S$112),108,NA())</f>
        <v/>
      </c>
      <c r="B110" s="60">
        <f>IF(ISNUMBER('ثبت معامله'!$S$112),'ثبت معامله'!$S$112,NA())</f>
        <v/>
      </c>
    </row>
    <row r="111">
      <c r="A111">
        <f>IF(ISNUMBER('ثبت معامله'!$S$113),109,NA())</f>
        <v/>
      </c>
      <c r="B111" s="60">
        <f>IF(ISNUMBER('ثبت معامله'!$S$113),'ثبت معامله'!$S$113,NA())</f>
        <v/>
      </c>
    </row>
    <row r="112">
      <c r="A112">
        <f>IF(ISNUMBER('ثبت معامله'!$S$114),110,NA())</f>
        <v/>
      </c>
      <c r="B112" s="60">
        <f>IF(ISNUMBER('ثبت معامله'!$S$114),'ثبت معامله'!$S$114,NA())</f>
        <v/>
      </c>
    </row>
    <row r="113">
      <c r="A113">
        <f>IF(ISNUMBER('ثبت معامله'!$S$115),111,NA())</f>
        <v/>
      </c>
      <c r="B113" s="60">
        <f>IF(ISNUMBER('ثبت معامله'!$S$115),'ثبت معامله'!$S$115,NA())</f>
        <v/>
      </c>
    </row>
    <row r="114">
      <c r="A114">
        <f>IF(ISNUMBER('ثبت معامله'!$S$116),112,NA())</f>
        <v/>
      </c>
      <c r="B114" s="60">
        <f>IF(ISNUMBER('ثبت معامله'!$S$116),'ثبت معامله'!$S$116,NA())</f>
        <v/>
      </c>
    </row>
    <row r="115">
      <c r="A115">
        <f>IF(ISNUMBER('ثبت معامله'!$S$117),113,NA())</f>
        <v/>
      </c>
      <c r="B115" s="60">
        <f>IF(ISNUMBER('ثبت معامله'!$S$117),'ثبت معامله'!$S$117,NA())</f>
        <v/>
      </c>
    </row>
    <row r="116">
      <c r="A116">
        <f>IF(ISNUMBER('ثبت معامله'!$S$118),114,NA())</f>
        <v/>
      </c>
      <c r="B116" s="60">
        <f>IF(ISNUMBER('ثبت معامله'!$S$118),'ثبت معامله'!$S$118,NA())</f>
        <v/>
      </c>
    </row>
    <row r="117">
      <c r="A117">
        <f>IF(ISNUMBER('ثبت معامله'!$S$119),115,NA())</f>
        <v/>
      </c>
      <c r="B117" s="60">
        <f>IF(ISNUMBER('ثبت معامله'!$S$119),'ثبت معامله'!$S$119,NA())</f>
        <v/>
      </c>
    </row>
    <row r="118">
      <c r="A118">
        <f>IF(ISNUMBER('ثبت معامله'!$S$120),116,NA())</f>
        <v/>
      </c>
      <c r="B118" s="60">
        <f>IF(ISNUMBER('ثبت معامله'!$S$120),'ثبت معامله'!$S$120,NA())</f>
        <v/>
      </c>
    </row>
    <row r="119">
      <c r="A119">
        <f>IF(ISNUMBER('ثبت معامله'!$S$121),117,NA())</f>
        <v/>
      </c>
      <c r="B119" s="60">
        <f>IF(ISNUMBER('ثبت معامله'!$S$121),'ثبت معامله'!$S$121,NA())</f>
        <v/>
      </c>
    </row>
    <row r="120">
      <c r="A120">
        <f>IF(ISNUMBER('ثبت معامله'!$S$122),118,NA())</f>
        <v/>
      </c>
      <c r="B120" s="60">
        <f>IF(ISNUMBER('ثبت معامله'!$S$122),'ثبت معامله'!$S$122,NA())</f>
        <v/>
      </c>
    </row>
    <row r="121">
      <c r="A121">
        <f>IF(ISNUMBER('ثبت معامله'!$S$123),119,NA())</f>
        <v/>
      </c>
      <c r="B121" s="60">
        <f>IF(ISNUMBER('ثبت معامله'!$S$123),'ثبت معامله'!$S$123,NA())</f>
        <v/>
      </c>
    </row>
    <row r="122">
      <c r="A122">
        <f>IF(ISNUMBER('ثبت معامله'!$S$124),120,NA())</f>
        <v/>
      </c>
      <c r="B122" s="60">
        <f>IF(ISNUMBER('ثبت معامله'!$S$124),'ثبت معامله'!$S$124,NA())</f>
        <v/>
      </c>
    </row>
    <row r="123">
      <c r="A123">
        <f>IF(ISNUMBER('ثبت معامله'!$S$125),121,NA())</f>
        <v/>
      </c>
      <c r="B123" s="60">
        <f>IF(ISNUMBER('ثبت معامله'!$S$125),'ثبت معامله'!$S$125,NA())</f>
        <v/>
      </c>
    </row>
    <row r="124">
      <c r="A124">
        <f>IF(ISNUMBER('ثبت معامله'!$S$126),122,NA())</f>
        <v/>
      </c>
      <c r="B124" s="60">
        <f>IF(ISNUMBER('ثبت معامله'!$S$126),'ثبت معامله'!$S$126,NA())</f>
        <v/>
      </c>
    </row>
    <row r="125">
      <c r="A125">
        <f>IF(ISNUMBER('ثبت معامله'!$S$127),123,NA())</f>
        <v/>
      </c>
      <c r="B125" s="60">
        <f>IF(ISNUMBER('ثبت معامله'!$S$127),'ثبت معامله'!$S$127,NA())</f>
        <v/>
      </c>
    </row>
    <row r="126">
      <c r="A126">
        <f>IF(ISNUMBER('ثبت معامله'!$S$128),124,NA())</f>
        <v/>
      </c>
      <c r="B126" s="60">
        <f>IF(ISNUMBER('ثبت معامله'!$S$128),'ثبت معامله'!$S$128,NA())</f>
        <v/>
      </c>
    </row>
    <row r="127">
      <c r="A127">
        <f>IF(ISNUMBER('ثبت معامله'!$S$129),125,NA())</f>
        <v/>
      </c>
      <c r="B127" s="60">
        <f>IF(ISNUMBER('ثبت معامله'!$S$129),'ثبت معامله'!$S$129,NA())</f>
        <v/>
      </c>
    </row>
    <row r="128">
      <c r="A128">
        <f>IF(ISNUMBER('ثبت معامله'!$S$130),126,NA())</f>
        <v/>
      </c>
      <c r="B128" s="60">
        <f>IF(ISNUMBER('ثبت معامله'!$S$130),'ثبت معامله'!$S$130,NA())</f>
        <v/>
      </c>
    </row>
    <row r="129">
      <c r="A129">
        <f>IF(ISNUMBER('ثبت معامله'!$S$131),127,NA())</f>
        <v/>
      </c>
      <c r="B129" s="60">
        <f>IF(ISNUMBER('ثبت معامله'!$S$131),'ثبت معامله'!$S$131,NA())</f>
        <v/>
      </c>
    </row>
    <row r="130">
      <c r="A130">
        <f>IF(ISNUMBER('ثبت معامله'!$S$132),128,NA())</f>
        <v/>
      </c>
      <c r="B130" s="60">
        <f>IF(ISNUMBER('ثبت معامله'!$S$132),'ثبت معامله'!$S$132,NA())</f>
        <v/>
      </c>
    </row>
    <row r="131">
      <c r="A131">
        <f>IF(ISNUMBER('ثبت معامله'!$S$133),129,NA())</f>
        <v/>
      </c>
      <c r="B131" s="60">
        <f>IF(ISNUMBER('ثبت معامله'!$S$133),'ثبت معامله'!$S$133,NA())</f>
        <v/>
      </c>
    </row>
    <row r="132">
      <c r="A132">
        <f>IF(ISNUMBER('ثبت معامله'!$S$134),130,NA())</f>
        <v/>
      </c>
      <c r="B132" s="60">
        <f>IF(ISNUMBER('ثبت معامله'!$S$134),'ثبت معامله'!$S$134,NA())</f>
        <v/>
      </c>
    </row>
    <row r="133">
      <c r="A133">
        <f>IF(ISNUMBER('ثبت معامله'!$S$135),131,NA())</f>
        <v/>
      </c>
      <c r="B133" s="60">
        <f>IF(ISNUMBER('ثبت معامله'!$S$135),'ثبت معامله'!$S$135,NA())</f>
        <v/>
      </c>
    </row>
    <row r="134">
      <c r="A134">
        <f>IF(ISNUMBER('ثبت معامله'!$S$136),132,NA())</f>
        <v/>
      </c>
      <c r="B134" s="60">
        <f>IF(ISNUMBER('ثبت معامله'!$S$136),'ثبت معامله'!$S$136,NA())</f>
        <v/>
      </c>
    </row>
    <row r="135">
      <c r="A135">
        <f>IF(ISNUMBER('ثبت معامله'!$S$137),133,NA())</f>
        <v/>
      </c>
      <c r="B135" s="60">
        <f>IF(ISNUMBER('ثبت معامله'!$S$137),'ثبت معامله'!$S$137,NA())</f>
        <v/>
      </c>
    </row>
    <row r="136">
      <c r="A136">
        <f>IF(ISNUMBER('ثبت معامله'!$S$138),134,NA())</f>
        <v/>
      </c>
      <c r="B136" s="60">
        <f>IF(ISNUMBER('ثبت معامله'!$S$138),'ثبت معامله'!$S$138,NA())</f>
        <v/>
      </c>
    </row>
    <row r="137">
      <c r="A137">
        <f>IF(ISNUMBER('ثبت معامله'!$S$139),135,NA())</f>
        <v/>
      </c>
      <c r="B137" s="60">
        <f>IF(ISNUMBER('ثبت معامله'!$S$139),'ثبت معامله'!$S$139,NA())</f>
        <v/>
      </c>
    </row>
    <row r="138">
      <c r="A138">
        <f>IF(ISNUMBER('ثبت معامله'!$S$140),136,NA())</f>
        <v/>
      </c>
      <c r="B138" s="60">
        <f>IF(ISNUMBER('ثبت معامله'!$S$140),'ثبت معامله'!$S$140,NA())</f>
        <v/>
      </c>
    </row>
    <row r="139">
      <c r="A139">
        <f>IF(ISNUMBER('ثبت معامله'!$S$141),137,NA())</f>
        <v/>
      </c>
      <c r="B139" s="60">
        <f>IF(ISNUMBER('ثبت معامله'!$S$141),'ثبت معامله'!$S$141,NA())</f>
        <v/>
      </c>
    </row>
    <row r="140">
      <c r="A140">
        <f>IF(ISNUMBER('ثبت معامله'!$S$142),138,NA())</f>
        <v/>
      </c>
      <c r="B140" s="60">
        <f>IF(ISNUMBER('ثبت معامله'!$S$142),'ثبت معامله'!$S$142,NA())</f>
        <v/>
      </c>
    </row>
    <row r="141">
      <c r="A141">
        <f>IF(ISNUMBER('ثبت معامله'!$S$143),139,NA())</f>
        <v/>
      </c>
      <c r="B141" s="60">
        <f>IF(ISNUMBER('ثبت معامله'!$S$143),'ثبت معامله'!$S$143,NA())</f>
        <v/>
      </c>
    </row>
    <row r="142">
      <c r="A142">
        <f>IF(ISNUMBER('ثبت معامله'!$S$144),140,NA())</f>
        <v/>
      </c>
      <c r="B142" s="60">
        <f>IF(ISNUMBER('ثبت معامله'!$S$144),'ثبت معامله'!$S$144,NA())</f>
        <v/>
      </c>
    </row>
    <row r="143">
      <c r="A143">
        <f>IF(ISNUMBER('ثبت معامله'!$S$145),141,NA())</f>
        <v/>
      </c>
      <c r="B143" s="60">
        <f>IF(ISNUMBER('ثبت معامله'!$S$145),'ثبت معامله'!$S$145,NA())</f>
        <v/>
      </c>
    </row>
    <row r="144">
      <c r="A144">
        <f>IF(ISNUMBER('ثبت معامله'!$S$146),142,NA())</f>
        <v/>
      </c>
      <c r="B144" s="60">
        <f>IF(ISNUMBER('ثبت معامله'!$S$146),'ثبت معامله'!$S$146,NA())</f>
        <v/>
      </c>
    </row>
    <row r="145">
      <c r="A145">
        <f>IF(ISNUMBER('ثبت معامله'!$S$147),143,NA())</f>
        <v/>
      </c>
      <c r="B145" s="60">
        <f>IF(ISNUMBER('ثبت معامله'!$S$147),'ثبت معامله'!$S$147,NA())</f>
        <v/>
      </c>
    </row>
    <row r="146">
      <c r="A146">
        <f>IF(ISNUMBER('ثبت معامله'!$S$148),144,NA())</f>
        <v/>
      </c>
      <c r="B146" s="60">
        <f>IF(ISNUMBER('ثبت معامله'!$S$148),'ثبت معامله'!$S$148,NA())</f>
        <v/>
      </c>
    </row>
    <row r="147">
      <c r="A147">
        <f>IF(ISNUMBER('ثبت معامله'!$S$149),145,NA())</f>
        <v/>
      </c>
      <c r="B147" s="60">
        <f>IF(ISNUMBER('ثبت معامله'!$S$149),'ثبت معامله'!$S$149,NA())</f>
        <v/>
      </c>
    </row>
    <row r="148">
      <c r="A148">
        <f>IF(ISNUMBER('ثبت معامله'!$S$150),146,NA())</f>
        <v/>
      </c>
      <c r="B148" s="60">
        <f>IF(ISNUMBER('ثبت معامله'!$S$150),'ثبت معامله'!$S$150,NA())</f>
        <v/>
      </c>
    </row>
    <row r="149">
      <c r="A149">
        <f>IF(ISNUMBER('ثبت معامله'!$S$151),147,NA())</f>
        <v/>
      </c>
      <c r="B149" s="60">
        <f>IF(ISNUMBER('ثبت معامله'!$S$151),'ثبت معامله'!$S$151,NA())</f>
        <v/>
      </c>
    </row>
    <row r="150">
      <c r="A150">
        <f>IF(ISNUMBER('ثبت معامله'!$S$152),148,NA())</f>
        <v/>
      </c>
      <c r="B150" s="60">
        <f>IF(ISNUMBER('ثبت معامله'!$S$152),'ثبت معامله'!$S$152,NA())</f>
        <v/>
      </c>
    </row>
    <row r="151">
      <c r="A151">
        <f>IF(ISNUMBER('ثبت معامله'!$S$153),149,NA())</f>
        <v/>
      </c>
      <c r="B151" s="60">
        <f>IF(ISNUMBER('ثبت معامله'!$S$153),'ثبت معامله'!$S$153,NA())</f>
        <v/>
      </c>
    </row>
    <row r="152">
      <c r="A152">
        <f>IF(ISNUMBER('ثبت معامله'!$S$154),150,NA())</f>
        <v/>
      </c>
      <c r="B152" s="60">
        <f>IF(ISNUMBER('ثبت معامله'!$S$154),'ثبت معامله'!$S$154,NA())</f>
        <v/>
      </c>
    </row>
    <row r="153">
      <c r="A153">
        <f>IF(ISNUMBER('ثبت معامله'!$S$155),151,NA())</f>
        <v/>
      </c>
      <c r="B153" s="60">
        <f>IF(ISNUMBER('ثبت معامله'!$S$155),'ثبت معامله'!$S$155,NA())</f>
        <v/>
      </c>
    </row>
    <row r="154">
      <c r="A154">
        <f>IF(ISNUMBER('ثبت معامله'!$S$156),152,NA())</f>
        <v/>
      </c>
      <c r="B154" s="60">
        <f>IF(ISNUMBER('ثبت معامله'!$S$156),'ثبت معامله'!$S$156,NA())</f>
        <v/>
      </c>
    </row>
    <row r="155">
      <c r="A155">
        <f>IF(ISNUMBER('ثبت معامله'!$S$157),153,NA())</f>
        <v/>
      </c>
      <c r="B155" s="60">
        <f>IF(ISNUMBER('ثبت معامله'!$S$157),'ثبت معامله'!$S$157,NA())</f>
        <v/>
      </c>
    </row>
    <row r="156">
      <c r="A156">
        <f>IF(ISNUMBER('ثبت معامله'!$S$158),154,NA())</f>
        <v/>
      </c>
      <c r="B156" s="60">
        <f>IF(ISNUMBER('ثبت معامله'!$S$158),'ثبت معامله'!$S$158,NA())</f>
        <v/>
      </c>
    </row>
    <row r="157">
      <c r="A157">
        <f>IF(ISNUMBER('ثبت معامله'!$S$159),155,NA())</f>
        <v/>
      </c>
      <c r="B157" s="60">
        <f>IF(ISNUMBER('ثبت معامله'!$S$159),'ثبت معامله'!$S$159,NA())</f>
        <v/>
      </c>
    </row>
    <row r="158">
      <c r="A158">
        <f>IF(ISNUMBER('ثبت معامله'!$S$160),156,NA())</f>
        <v/>
      </c>
      <c r="B158" s="60">
        <f>IF(ISNUMBER('ثبت معامله'!$S$160),'ثبت معامله'!$S$160,NA())</f>
        <v/>
      </c>
    </row>
    <row r="159">
      <c r="A159">
        <f>IF(ISNUMBER('ثبت معامله'!$S$161),157,NA())</f>
        <v/>
      </c>
      <c r="B159" s="60">
        <f>IF(ISNUMBER('ثبت معامله'!$S$161),'ثبت معامله'!$S$161,NA())</f>
        <v/>
      </c>
    </row>
    <row r="160">
      <c r="A160">
        <f>IF(ISNUMBER('ثبت معامله'!$S$162),158,NA())</f>
        <v/>
      </c>
      <c r="B160" s="60">
        <f>IF(ISNUMBER('ثبت معامله'!$S$162),'ثبت معامله'!$S$162,NA())</f>
        <v/>
      </c>
    </row>
    <row r="161">
      <c r="A161">
        <f>IF(ISNUMBER('ثبت معامله'!$S$163),159,NA())</f>
        <v/>
      </c>
      <c r="B161" s="60">
        <f>IF(ISNUMBER('ثبت معامله'!$S$163),'ثبت معامله'!$S$163,NA())</f>
        <v/>
      </c>
    </row>
    <row r="162">
      <c r="A162">
        <f>IF(ISNUMBER('ثبت معامله'!$S$164),160,NA())</f>
        <v/>
      </c>
      <c r="B162" s="60">
        <f>IF(ISNUMBER('ثبت معامله'!$S$164),'ثبت معامله'!$S$164,NA())</f>
        <v/>
      </c>
    </row>
    <row r="163">
      <c r="A163">
        <f>IF(ISNUMBER('ثبت معامله'!$S$165),161,NA())</f>
        <v/>
      </c>
      <c r="B163" s="60">
        <f>IF(ISNUMBER('ثبت معامله'!$S$165),'ثبت معامله'!$S$165,NA())</f>
        <v/>
      </c>
    </row>
    <row r="164">
      <c r="A164">
        <f>IF(ISNUMBER('ثبت معامله'!$S$166),162,NA())</f>
        <v/>
      </c>
      <c r="B164" s="60">
        <f>IF(ISNUMBER('ثبت معامله'!$S$166),'ثبت معامله'!$S$166,NA())</f>
        <v/>
      </c>
    </row>
    <row r="165">
      <c r="A165">
        <f>IF(ISNUMBER('ثبت معامله'!$S$167),163,NA())</f>
        <v/>
      </c>
      <c r="B165" s="60">
        <f>IF(ISNUMBER('ثبت معامله'!$S$167),'ثبت معامله'!$S$167,NA())</f>
        <v/>
      </c>
    </row>
    <row r="166">
      <c r="A166">
        <f>IF(ISNUMBER('ثبت معامله'!$S$168),164,NA())</f>
        <v/>
      </c>
      <c r="B166" s="60">
        <f>IF(ISNUMBER('ثبت معامله'!$S$168),'ثبت معامله'!$S$168,NA())</f>
        <v/>
      </c>
    </row>
    <row r="167">
      <c r="A167">
        <f>IF(ISNUMBER('ثبت معامله'!$S$169),165,NA())</f>
        <v/>
      </c>
      <c r="B167" s="60">
        <f>IF(ISNUMBER('ثبت معامله'!$S$169),'ثبت معامله'!$S$169,NA())</f>
        <v/>
      </c>
    </row>
    <row r="168">
      <c r="A168">
        <f>IF(ISNUMBER('ثبت معامله'!$S$170),166,NA())</f>
        <v/>
      </c>
      <c r="B168" s="60">
        <f>IF(ISNUMBER('ثبت معامله'!$S$170),'ثبت معامله'!$S$170,NA())</f>
        <v/>
      </c>
    </row>
    <row r="169">
      <c r="A169">
        <f>IF(ISNUMBER('ثبت معامله'!$S$171),167,NA())</f>
        <v/>
      </c>
      <c r="B169" s="60">
        <f>IF(ISNUMBER('ثبت معامله'!$S$171),'ثبت معامله'!$S$171,NA())</f>
        <v/>
      </c>
    </row>
    <row r="170">
      <c r="A170">
        <f>IF(ISNUMBER('ثبت معامله'!$S$172),168,NA())</f>
        <v/>
      </c>
      <c r="B170" s="60">
        <f>IF(ISNUMBER('ثبت معامله'!$S$172),'ثبت معامله'!$S$172,NA())</f>
        <v/>
      </c>
    </row>
    <row r="171">
      <c r="A171">
        <f>IF(ISNUMBER('ثبت معامله'!$S$173),169,NA())</f>
        <v/>
      </c>
      <c r="B171" s="60">
        <f>IF(ISNUMBER('ثبت معامله'!$S$173),'ثبت معامله'!$S$173,NA())</f>
        <v/>
      </c>
    </row>
    <row r="172">
      <c r="A172">
        <f>IF(ISNUMBER('ثبت معامله'!$S$174),170,NA())</f>
        <v/>
      </c>
      <c r="B172" s="60">
        <f>IF(ISNUMBER('ثبت معامله'!$S$174),'ثبت معامله'!$S$174,NA())</f>
        <v/>
      </c>
    </row>
    <row r="173">
      <c r="A173">
        <f>IF(ISNUMBER('ثبت معامله'!$S$175),171,NA())</f>
        <v/>
      </c>
      <c r="B173" s="60">
        <f>IF(ISNUMBER('ثبت معامله'!$S$175),'ثبت معامله'!$S$175,NA())</f>
        <v/>
      </c>
    </row>
    <row r="174">
      <c r="A174">
        <f>IF(ISNUMBER('ثبت معامله'!$S$176),172,NA())</f>
        <v/>
      </c>
      <c r="B174" s="60">
        <f>IF(ISNUMBER('ثبت معامله'!$S$176),'ثبت معامله'!$S$176,NA())</f>
        <v/>
      </c>
    </row>
    <row r="175">
      <c r="A175">
        <f>IF(ISNUMBER('ثبت معامله'!$S$177),173,NA())</f>
        <v/>
      </c>
      <c r="B175" s="60">
        <f>IF(ISNUMBER('ثبت معامله'!$S$177),'ثبت معامله'!$S$177,NA())</f>
        <v/>
      </c>
    </row>
    <row r="176">
      <c r="A176">
        <f>IF(ISNUMBER('ثبت معامله'!$S$178),174,NA())</f>
        <v/>
      </c>
      <c r="B176" s="60">
        <f>IF(ISNUMBER('ثبت معامله'!$S$178),'ثبت معامله'!$S$178,NA())</f>
        <v/>
      </c>
    </row>
    <row r="177">
      <c r="A177">
        <f>IF(ISNUMBER('ثبت معامله'!$S$179),175,NA())</f>
        <v/>
      </c>
      <c r="B177" s="60">
        <f>IF(ISNUMBER('ثبت معامله'!$S$179),'ثبت معامله'!$S$179,NA())</f>
        <v/>
      </c>
    </row>
    <row r="178">
      <c r="A178">
        <f>IF(ISNUMBER('ثبت معامله'!$S$180),176,NA())</f>
        <v/>
      </c>
      <c r="B178" s="60">
        <f>IF(ISNUMBER('ثبت معامله'!$S$180),'ثبت معامله'!$S$180,NA())</f>
        <v/>
      </c>
    </row>
    <row r="179">
      <c r="A179">
        <f>IF(ISNUMBER('ثبت معامله'!$S$181),177,NA())</f>
        <v/>
      </c>
      <c r="B179" s="60">
        <f>IF(ISNUMBER('ثبت معامله'!$S$181),'ثبت معامله'!$S$181,NA())</f>
        <v/>
      </c>
    </row>
    <row r="180">
      <c r="A180">
        <f>IF(ISNUMBER('ثبت معامله'!$S$182),178,NA())</f>
        <v/>
      </c>
      <c r="B180" s="60">
        <f>IF(ISNUMBER('ثبت معامله'!$S$182),'ثبت معامله'!$S$182,NA())</f>
        <v/>
      </c>
    </row>
    <row r="181">
      <c r="A181">
        <f>IF(ISNUMBER('ثبت معامله'!$S$183),179,NA())</f>
        <v/>
      </c>
      <c r="B181" s="60">
        <f>IF(ISNUMBER('ثبت معامله'!$S$183),'ثبت معامله'!$S$183,NA())</f>
        <v/>
      </c>
    </row>
    <row r="182">
      <c r="A182">
        <f>IF(ISNUMBER('ثبت معامله'!$S$184),180,NA())</f>
        <v/>
      </c>
      <c r="B182" s="60">
        <f>IF(ISNUMBER('ثبت معامله'!$S$184),'ثبت معامله'!$S$184,NA())</f>
        <v/>
      </c>
    </row>
    <row r="183">
      <c r="A183">
        <f>IF(ISNUMBER('ثبت معامله'!$S$185),181,NA())</f>
        <v/>
      </c>
      <c r="B183" s="60">
        <f>IF(ISNUMBER('ثبت معامله'!$S$185),'ثبت معامله'!$S$185,NA())</f>
        <v/>
      </c>
    </row>
    <row r="184">
      <c r="A184">
        <f>IF(ISNUMBER('ثبت معامله'!$S$186),182,NA())</f>
        <v/>
      </c>
      <c r="B184" s="60">
        <f>IF(ISNUMBER('ثبت معامله'!$S$186),'ثبت معامله'!$S$186,NA())</f>
        <v/>
      </c>
    </row>
    <row r="185">
      <c r="A185">
        <f>IF(ISNUMBER('ثبت معامله'!$S$187),183,NA())</f>
        <v/>
      </c>
      <c r="B185" s="60">
        <f>IF(ISNUMBER('ثبت معامله'!$S$187),'ثبت معامله'!$S$187,NA())</f>
        <v/>
      </c>
    </row>
    <row r="186">
      <c r="A186">
        <f>IF(ISNUMBER('ثبت معامله'!$S$188),184,NA())</f>
        <v/>
      </c>
      <c r="B186" s="60">
        <f>IF(ISNUMBER('ثبت معامله'!$S$188),'ثبت معامله'!$S$188,NA())</f>
        <v/>
      </c>
    </row>
    <row r="187">
      <c r="A187">
        <f>IF(ISNUMBER('ثبت معامله'!$S$189),185,NA())</f>
        <v/>
      </c>
      <c r="B187" s="60">
        <f>IF(ISNUMBER('ثبت معامله'!$S$189),'ثبت معامله'!$S$189,NA())</f>
        <v/>
      </c>
    </row>
    <row r="188">
      <c r="A188">
        <f>IF(ISNUMBER('ثبت معامله'!$S$190),186,NA())</f>
        <v/>
      </c>
      <c r="B188" s="60">
        <f>IF(ISNUMBER('ثبت معامله'!$S$190),'ثبت معامله'!$S$190,NA())</f>
        <v/>
      </c>
    </row>
    <row r="189">
      <c r="A189">
        <f>IF(ISNUMBER('ثبت معامله'!$S$191),187,NA())</f>
        <v/>
      </c>
      <c r="B189" s="60">
        <f>IF(ISNUMBER('ثبت معامله'!$S$191),'ثبت معامله'!$S$191,NA())</f>
        <v/>
      </c>
    </row>
    <row r="190">
      <c r="A190">
        <f>IF(ISNUMBER('ثبت معامله'!$S$192),188,NA())</f>
        <v/>
      </c>
      <c r="B190" s="60">
        <f>IF(ISNUMBER('ثبت معامله'!$S$192),'ثبت معامله'!$S$192,NA())</f>
        <v/>
      </c>
    </row>
    <row r="191">
      <c r="A191">
        <f>IF(ISNUMBER('ثبت معامله'!$S$193),189,NA())</f>
        <v/>
      </c>
      <c r="B191" s="60">
        <f>IF(ISNUMBER('ثبت معامله'!$S$193),'ثبت معامله'!$S$193,NA())</f>
        <v/>
      </c>
    </row>
    <row r="192">
      <c r="A192">
        <f>IF(ISNUMBER('ثبت معامله'!$S$194),190,NA())</f>
        <v/>
      </c>
      <c r="B192" s="60">
        <f>IF(ISNUMBER('ثبت معامله'!$S$194),'ثبت معامله'!$S$194,NA())</f>
        <v/>
      </c>
    </row>
    <row r="193">
      <c r="A193">
        <f>IF(ISNUMBER('ثبت معامله'!$S$195),191,NA())</f>
        <v/>
      </c>
      <c r="B193" s="60">
        <f>IF(ISNUMBER('ثبت معامله'!$S$195),'ثبت معامله'!$S$195,NA())</f>
        <v/>
      </c>
    </row>
    <row r="194">
      <c r="A194">
        <f>IF(ISNUMBER('ثبت معامله'!$S$196),192,NA())</f>
        <v/>
      </c>
      <c r="B194" s="60">
        <f>IF(ISNUMBER('ثبت معامله'!$S$196),'ثبت معامله'!$S$196,NA())</f>
        <v/>
      </c>
    </row>
    <row r="195">
      <c r="A195">
        <f>IF(ISNUMBER('ثبت معامله'!$S$197),193,NA())</f>
        <v/>
      </c>
      <c r="B195" s="60">
        <f>IF(ISNUMBER('ثبت معامله'!$S$197),'ثبت معامله'!$S$197,NA())</f>
        <v/>
      </c>
    </row>
    <row r="196">
      <c r="A196">
        <f>IF(ISNUMBER('ثبت معامله'!$S$198),194,NA())</f>
        <v/>
      </c>
      <c r="B196" s="60">
        <f>IF(ISNUMBER('ثبت معامله'!$S$198),'ثبت معامله'!$S$198,NA())</f>
        <v/>
      </c>
    </row>
    <row r="197">
      <c r="A197">
        <f>IF(ISNUMBER('ثبت معامله'!$S$199),195,NA())</f>
        <v/>
      </c>
      <c r="B197" s="60">
        <f>IF(ISNUMBER('ثبت معامله'!$S$199),'ثبت معامله'!$S$199,NA())</f>
        <v/>
      </c>
    </row>
    <row r="198">
      <c r="A198">
        <f>IF(ISNUMBER('ثبت معامله'!$S$200),196,NA())</f>
        <v/>
      </c>
      <c r="B198" s="60">
        <f>IF(ISNUMBER('ثبت معامله'!$S$200),'ثبت معامله'!$S$200,NA())</f>
        <v/>
      </c>
    </row>
    <row r="199">
      <c r="A199">
        <f>IF(ISNUMBER('ثبت معامله'!$S$201),197,NA())</f>
        <v/>
      </c>
      <c r="B199" s="60">
        <f>IF(ISNUMBER('ثبت معامله'!$S$201),'ثبت معامله'!$S$201,NA())</f>
        <v/>
      </c>
    </row>
    <row r="200">
      <c r="A200">
        <f>IF(ISNUMBER('ثبت معامله'!$S$202),198,NA())</f>
        <v/>
      </c>
      <c r="B200" s="60">
        <f>IF(ISNUMBER('ثبت معامله'!$S$202),'ثبت معامله'!$S$202,NA())</f>
        <v/>
      </c>
    </row>
    <row r="201">
      <c r="A201">
        <f>IF(ISNUMBER('ثبت معامله'!$S$203),199,NA())</f>
        <v/>
      </c>
      <c r="B201" s="60">
        <f>IF(ISNUMBER('ثبت معامله'!$S$203),'ثبت معامله'!$S$203,NA())</f>
        <v/>
      </c>
    </row>
    <row r="202">
      <c r="A202">
        <f>IF(ISNUMBER('ثبت معامله'!$S$204),200,NA())</f>
        <v/>
      </c>
      <c r="B202" s="60">
        <f>IF(ISNUMBER('ثبت معامله'!$S$204),'ثبت معامله'!$S$204,NA())</f>
        <v/>
      </c>
    </row>
    <row r="203">
      <c r="A203">
        <f>IF(ISNUMBER('ثبت معامله'!$S$205),201,NA())</f>
        <v/>
      </c>
      <c r="B203" s="60">
        <f>IF(ISNUMBER('ثبت معامله'!$S$205),'ثبت معامله'!$S$205,NA())</f>
        <v/>
      </c>
    </row>
    <row r="204">
      <c r="A204">
        <f>IF(ISNUMBER('ثبت معامله'!$S$206),202,NA())</f>
        <v/>
      </c>
      <c r="B204" s="60">
        <f>IF(ISNUMBER('ثبت معامله'!$S$206),'ثبت معامله'!$S$206,NA())</f>
        <v/>
      </c>
    </row>
    <row r="205">
      <c r="A205">
        <f>IF(ISNUMBER('ثبت معامله'!$S$207),203,NA())</f>
        <v/>
      </c>
      <c r="B205" s="60">
        <f>IF(ISNUMBER('ثبت معامله'!$S$207),'ثبت معامله'!$S$207,NA())</f>
        <v/>
      </c>
    </row>
    <row r="206">
      <c r="A206">
        <f>IF(ISNUMBER('ثبت معامله'!$S$208),204,NA())</f>
        <v/>
      </c>
      <c r="B206" s="60">
        <f>IF(ISNUMBER('ثبت معامله'!$S$208),'ثبت معامله'!$S$208,NA())</f>
        <v/>
      </c>
    </row>
    <row r="207">
      <c r="A207">
        <f>IF(ISNUMBER('ثبت معامله'!$S$209),205,NA())</f>
        <v/>
      </c>
      <c r="B207" s="60">
        <f>IF(ISNUMBER('ثبت معامله'!$S$209),'ثبت معامله'!$S$209,NA())</f>
        <v/>
      </c>
    </row>
    <row r="208">
      <c r="A208">
        <f>IF(ISNUMBER('ثبت معامله'!$S$210),206,NA())</f>
        <v/>
      </c>
      <c r="B208" s="60">
        <f>IF(ISNUMBER('ثبت معامله'!$S$210),'ثبت معامله'!$S$210,NA())</f>
        <v/>
      </c>
    </row>
    <row r="209">
      <c r="A209">
        <f>IF(ISNUMBER('ثبت معامله'!$S$211),207,NA())</f>
        <v/>
      </c>
      <c r="B209" s="60">
        <f>IF(ISNUMBER('ثبت معامله'!$S$211),'ثبت معامله'!$S$211,NA())</f>
        <v/>
      </c>
    </row>
    <row r="210">
      <c r="A210">
        <f>IF(ISNUMBER('ثبت معامله'!$S$212),208,NA())</f>
        <v/>
      </c>
      <c r="B210" s="60">
        <f>IF(ISNUMBER('ثبت معامله'!$S$212),'ثبت معامله'!$S$212,NA())</f>
        <v/>
      </c>
    </row>
    <row r="211">
      <c r="A211">
        <f>IF(ISNUMBER('ثبت معامله'!$S$213),209,NA())</f>
        <v/>
      </c>
      <c r="B211" s="60">
        <f>IF(ISNUMBER('ثبت معامله'!$S$213),'ثبت معامله'!$S$213,NA())</f>
        <v/>
      </c>
    </row>
    <row r="212">
      <c r="A212">
        <f>IF(ISNUMBER('ثبت معامله'!$S$214),210,NA())</f>
        <v/>
      </c>
      <c r="B212" s="60">
        <f>IF(ISNUMBER('ثبت معامله'!$S$214),'ثبت معامله'!$S$214,NA())</f>
        <v/>
      </c>
    </row>
    <row r="213">
      <c r="A213">
        <f>IF(ISNUMBER('ثبت معامله'!$S$215),211,NA())</f>
        <v/>
      </c>
      <c r="B213" s="60">
        <f>IF(ISNUMBER('ثبت معامله'!$S$215),'ثبت معامله'!$S$215,NA())</f>
        <v/>
      </c>
    </row>
    <row r="214">
      <c r="A214">
        <f>IF(ISNUMBER('ثبت معامله'!$S$216),212,NA())</f>
        <v/>
      </c>
      <c r="B214" s="60">
        <f>IF(ISNUMBER('ثبت معامله'!$S$216),'ثبت معامله'!$S$216,NA())</f>
        <v/>
      </c>
    </row>
    <row r="215">
      <c r="A215">
        <f>IF(ISNUMBER('ثبت معامله'!$S$217),213,NA())</f>
        <v/>
      </c>
      <c r="B215" s="60">
        <f>IF(ISNUMBER('ثبت معامله'!$S$217),'ثبت معامله'!$S$217,NA())</f>
        <v/>
      </c>
    </row>
    <row r="216">
      <c r="A216">
        <f>IF(ISNUMBER('ثبت معامله'!$S$218),214,NA())</f>
        <v/>
      </c>
      <c r="B216" s="60">
        <f>IF(ISNUMBER('ثبت معامله'!$S$218),'ثبت معامله'!$S$218,NA())</f>
        <v/>
      </c>
    </row>
    <row r="217">
      <c r="A217">
        <f>IF(ISNUMBER('ثبت معامله'!$S$219),215,NA())</f>
        <v/>
      </c>
      <c r="B217" s="60">
        <f>IF(ISNUMBER('ثبت معامله'!$S$219),'ثبت معامله'!$S$219,NA())</f>
        <v/>
      </c>
    </row>
    <row r="218">
      <c r="A218">
        <f>IF(ISNUMBER('ثبت معامله'!$S$220),216,NA())</f>
        <v/>
      </c>
      <c r="B218" s="60">
        <f>IF(ISNUMBER('ثبت معامله'!$S$220),'ثبت معامله'!$S$220,NA())</f>
        <v/>
      </c>
    </row>
    <row r="219">
      <c r="A219">
        <f>IF(ISNUMBER('ثبت معامله'!$S$221),217,NA())</f>
        <v/>
      </c>
      <c r="B219" s="60">
        <f>IF(ISNUMBER('ثبت معامله'!$S$221),'ثبت معامله'!$S$221,NA())</f>
        <v/>
      </c>
    </row>
    <row r="220">
      <c r="A220">
        <f>IF(ISNUMBER('ثبت معامله'!$S$222),218,NA())</f>
        <v/>
      </c>
      <c r="B220" s="60">
        <f>IF(ISNUMBER('ثبت معامله'!$S$222),'ثبت معامله'!$S$222,NA())</f>
        <v/>
      </c>
    </row>
    <row r="221">
      <c r="A221">
        <f>IF(ISNUMBER('ثبت معامله'!$S$223),219,NA())</f>
        <v/>
      </c>
      <c r="B221" s="60">
        <f>IF(ISNUMBER('ثبت معامله'!$S$223),'ثبت معامله'!$S$223,NA())</f>
        <v/>
      </c>
    </row>
    <row r="222">
      <c r="A222">
        <f>IF(ISNUMBER('ثبت معامله'!$S$224),220,NA())</f>
        <v/>
      </c>
      <c r="B222" s="60">
        <f>IF(ISNUMBER('ثبت معامله'!$S$224),'ثبت معامله'!$S$224,NA())</f>
        <v/>
      </c>
    </row>
    <row r="223">
      <c r="A223">
        <f>IF(ISNUMBER('ثبت معامله'!$S$225),221,NA())</f>
        <v/>
      </c>
      <c r="B223" s="60">
        <f>IF(ISNUMBER('ثبت معامله'!$S$225),'ثبت معامله'!$S$225,NA())</f>
        <v/>
      </c>
    </row>
    <row r="224">
      <c r="A224">
        <f>IF(ISNUMBER('ثبت معامله'!$S$226),222,NA())</f>
        <v/>
      </c>
      <c r="B224" s="60">
        <f>IF(ISNUMBER('ثبت معامله'!$S$226),'ثبت معامله'!$S$226,NA())</f>
        <v/>
      </c>
    </row>
    <row r="225">
      <c r="A225">
        <f>IF(ISNUMBER('ثبت معامله'!$S$227),223,NA())</f>
        <v/>
      </c>
      <c r="B225" s="60">
        <f>IF(ISNUMBER('ثبت معامله'!$S$227),'ثبت معامله'!$S$227,NA())</f>
        <v/>
      </c>
    </row>
    <row r="226">
      <c r="A226">
        <f>IF(ISNUMBER('ثبت معامله'!$S$228),224,NA())</f>
        <v/>
      </c>
      <c r="B226" s="60">
        <f>IF(ISNUMBER('ثبت معامله'!$S$228),'ثبت معامله'!$S$228,NA())</f>
        <v/>
      </c>
    </row>
    <row r="227">
      <c r="A227">
        <f>IF(ISNUMBER('ثبت معامله'!$S$229),225,NA())</f>
        <v/>
      </c>
      <c r="B227" s="60">
        <f>IF(ISNUMBER('ثبت معامله'!$S$229),'ثبت معامله'!$S$229,NA())</f>
        <v/>
      </c>
    </row>
    <row r="228">
      <c r="A228">
        <f>IF(ISNUMBER('ثبت معامله'!$S$230),226,NA())</f>
        <v/>
      </c>
      <c r="B228" s="60">
        <f>IF(ISNUMBER('ثبت معامله'!$S$230),'ثبت معامله'!$S$230,NA())</f>
        <v/>
      </c>
    </row>
    <row r="229">
      <c r="A229">
        <f>IF(ISNUMBER('ثبت معامله'!$S$231),227,NA())</f>
        <v/>
      </c>
      <c r="B229" s="60">
        <f>IF(ISNUMBER('ثبت معامله'!$S$231),'ثبت معامله'!$S$231,NA())</f>
        <v/>
      </c>
    </row>
    <row r="230">
      <c r="A230">
        <f>IF(ISNUMBER('ثبت معامله'!$S$232),228,NA())</f>
        <v/>
      </c>
      <c r="B230" s="60">
        <f>IF(ISNUMBER('ثبت معامله'!$S$232),'ثبت معامله'!$S$232,NA())</f>
        <v/>
      </c>
    </row>
    <row r="231">
      <c r="A231">
        <f>IF(ISNUMBER('ثبت معامله'!$S$233),229,NA())</f>
        <v/>
      </c>
      <c r="B231" s="60">
        <f>IF(ISNUMBER('ثبت معامله'!$S$233),'ثبت معامله'!$S$233,NA())</f>
        <v/>
      </c>
    </row>
    <row r="232">
      <c r="A232">
        <f>IF(ISNUMBER('ثبت معامله'!$S$234),230,NA())</f>
        <v/>
      </c>
      <c r="B232" s="60">
        <f>IF(ISNUMBER('ثبت معامله'!$S$234),'ثبت معامله'!$S$234,NA())</f>
        <v/>
      </c>
    </row>
    <row r="233">
      <c r="A233">
        <f>IF(ISNUMBER('ثبت معامله'!$S$235),231,NA())</f>
        <v/>
      </c>
      <c r="B233" s="60">
        <f>IF(ISNUMBER('ثبت معامله'!$S$235),'ثبت معامله'!$S$235,NA())</f>
        <v/>
      </c>
    </row>
    <row r="234">
      <c r="A234">
        <f>IF(ISNUMBER('ثبت معامله'!$S$236),232,NA())</f>
        <v/>
      </c>
      <c r="B234" s="60">
        <f>IF(ISNUMBER('ثبت معامله'!$S$236),'ثبت معامله'!$S$236,NA())</f>
        <v/>
      </c>
    </row>
    <row r="235">
      <c r="A235">
        <f>IF(ISNUMBER('ثبت معامله'!$S$237),233,NA())</f>
        <v/>
      </c>
      <c r="B235" s="60">
        <f>IF(ISNUMBER('ثبت معامله'!$S$237),'ثبت معامله'!$S$237,NA())</f>
        <v/>
      </c>
    </row>
    <row r="236">
      <c r="A236">
        <f>IF(ISNUMBER('ثبت معامله'!$S$238),234,NA())</f>
        <v/>
      </c>
      <c r="B236" s="60">
        <f>IF(ISNUMBER('ثبت معامله'!$S$238),'ثبت معامله'!$S$238,NA())</f>
        <v/>
      </c>
    </row>
    <row r="237">
      <c r="A237">
        <f>IF(ISNUMBER('ثبت معامله'!$S$239),235,NA())</f>
        <v/>
      </c>
      <c r="B237" s="60">
        <f>IF(ISNUMBER('ثبت معامله'!$S$239),'ثبت معامله'!$S$239,NA())</f>
        <v/>
      </c>
    </row>
    <row r="238">
      <c r="A238">
        <f>IF(ISNUMBER('ثبت معامله'!$S$240),236,NA())</f>
        <v/>
      </c>
      <c r="B238" s="60">
        <f>IF(ISNUMBER('ثبت معامله'!$S$240),'ثبت معامله'!$S$240,NA())</f>
        <v/>
      </c>
    </row>
    <row r="239">
      <c r="A239">
        <f>IF(ISNUMBER('ثبت معامله'!$S$241),237,NA())</f>
        <v/>
      </c>
      <c r="B239" s="60">
        <f>IF(ISNUMBER('ثبت معامله'!$S$241),'ثبت معامله'!$S$241,NA())</f>
        <v/>
      </c>
    </row>
    <row r="240">
      <c r="A240">
        <f>IF(ISNUMBER('ثبت معامله'!$S$242),238,NA())</f>
        <v/>
      </c>
      <c r="B240" s="60">
        <f>IF(ISNUMBER('ثبت معامله'!$S$242),'ثبت معامله'!$S$242,NA())</f>
        <v/>
      </c>
    </row>
    <row r="241">
      <c r="A241">
        <f>IF(ISNUMBER('ثبت معامله'!$S$243),239,NA())</f>
        <v/>
      </c>
      <c r="B241" s="60">
        <f>IF(ISNUMBER('ثبت معامله'!$S$243),'ثبت معامله'!$S$243,NA())</f>
        <v/>
      </c>
    </row>
    <row r="242">
      <c r="A242">
        <f>IF(ISNUMBER('ثبت معامله'!$S$244),240,NA())</f>
        <v/>
      </c>
      <c r="B242" s="60">
        <f>IF(ISNUMBER('ثبت معامله'!$S$244),'ثبت معامله'!$S$244,NA())</f>
        <v/>
      </c>
    </row>
    <row r="243">
      <c r="A243">
        <f>IF(ISNUMBER('ثبت معامله'!$S$245),241,NA())</f>
        <v/>
      </c>
      <c r="B243" s="60">
        <f>IF(ISNUMBER('ثبت معامله'!$S$245),'ثبت معامله'!$S$245,NA())</f>
        <v/>
      </c>
    </row>
    <row r="244">
      <c r="A244">
        <f>IF(ISNUMBER('ثبت معامله'!$S$246),242,NA())</f>
        <v/>
      </c>
      <c r="B244" s="60">
        <f>IF(ISNUMBER('ثبت معامله'!$S$246),'ثبت معامله'!$S$246,NA())</f>
        <v/>
      </c>
    </row>
    <row r="245">
      <c r="A245">
        <f>IF(ISNUMBER('ثبت معامله'!$S$247),243,NA())</f>
        <v/>
      </c>
      <c r="B245" s="60">
        <f>IF(ISNUMBER('ثبت معامله'!$S$247),'ثبت معامله'!$S$247,NA())</f>
        <v/>
      </c>
    </row>
    <row r="246">
      <c r="A246">
        <f>IF(ISNUMBER('ثبت معامله'!$S$248),244,NA())</f>
        <v/>
      </c>
      <c r="B246" s="60">
        <f>IF(ISNUMBER('ثبت معامله'!$S$248),'ثبت معامله'!$S$248,NA())</f>
        <v/>
      </c>
    </row>
    <row r="247">
      <c r="A247">
        <f>IF(ISNUMBER('ثبت معامله'!$S$249),245,NA())</f>
        <v/>
      </c>
      <c r="B247" s="60">
        <f>IF(ISNUMBER('ثبت معامله'!$S$249),'ثبت معامله'!$S$249,NA())</f>
        <v/>
      </c>
    </row>
    <row r="248">
      <c r="A248">
        <f>IF(ISNUMBER('ثبت معامله'!$S$250),246,NA())</f>
        <v/>
      </c>
      <c r="B248" s="60">
        <f>IF(ISNUMBER('ثبت معامله'!$S$250),'ثبت معامله'!$S$250,NA())</f>
        <v/>
      </c>
    </row>
    <row r="249">
      <c r="A249">
        <f>IF(ISNUMBER('ثبت معامله'!$S$251),247,NA())</f>
        <v/>
      </c>
      <c r="B249" s="60">
        <f>IF(ISNUMBER('ثبت معامله'!$S$251),'ثبت معامله'!$S$251,NA())</f>
        <v/>
      </c>
    </row>
    <row r="250">
      <c r="A250">
        <f>IF(ISNUMBER('ثبت معامله'!$S$252),248,NA())</f>
        <v/>
      </c>
      <c r="B250" s="60">
        <f>IF(ISNUMBER('ثبت معامله'!$S$252),'ثبت معامله'!$S$252,NA())</f>
        <v/>
      </c>
    </row>
    <row r="251">
      <c r="A251">
        <f>IF(ISNUMBER('ثبت معامله'!$S$253),249,NA())</f>
        <v/>
      </c>
      <c r="B251" s="60">
        <f>IF(ISNUMBER('ثبت معامله'!$S$253),'ثبت معامله'!$S$253,NA())</f>
        <v/>
      </c>
    </row>
    <row r="252">
      <c r="A252">
        <f>IF(ISNUMBER('ثبت معامله'!$S$254),250,NA())</f>
        <v/>
      </c>
      <c r="B252" s="60">
        <f>IF(ISNUMBER('ثبت معامله'!$S$254),'ثبت معامله'!$S$254,NA())</f>
        <v/>
      </c>
    </row>
    <row r="253">
      <c r="A253">
        <f>IF(ISNUMBER('ثبت معامله'!$S$255),251,NA())</f>
        <v/>
      </c>
      <c r="B253" s="60">
        <f>IF(ISNUMBER('ثبت معامله'!$S$255),'ثبت معامله'!$S$255,NA())</f>
        <v/>
      </c>
    </row>
    <row r="254">
      <c r="A254">
        <f>IF(ISNUMBER('ثبت معامله'!$S$256),252,NA())</f>
        <v/>
      </c>
      <c r="B254" s="60">
        <f>IF(ISNUMBER('ثبت معامله'!$S$256),'ثبت معامله'!$S$256,NA())</f>
        <v/>
      </c>
    </row>
    <row r="255">
      <c r="A255">
        <f>IF(ISNUMBER('ثبت معامله'!$S$257),253,NA())</f>
        <v/>
      </c>
      <c r="B255" s="60">
        <f>IF(ISNUMBER('ثبت معامله'!$S$257),'ثبت معامله'!$S$257,NA())</f>
        <v/>
      </c>
    </row>
    <row r="256">
      <c r="A256">
        <f>IF(ISNUMBER('ثبت معامله'!$S$258),254,NA())</f>
        <v/>
      </c>
      <c r="B256" s="60">
        <f>IF(ISNUMBER('ثبت معامله'!$S$258),'ثبت معامله'!$S$258,NA())</f>
        <v/>
      </c>
    </row>
    <row r="257">
      <c r="A257">
        <f>IF(ISNUMBER('ثبت معامله'!$S$259),255,NA())</f>
        <v/>
      </c>
      <c r="B257" s="60">
        <f>IF(ISNUMBER('ثبت معامله'!$S$259),'ثبت معامله'!$S$259,NA())</f>
        <v/>
      </c>
    </row>
    <row r="258">
      <c r="A258">
        <f>IF(ISNUMBER('ثبت معامله'!$S$260),256,NA())</f>
        <v/>
      </c>
      <c r="B258" s="60">
        <f>IF(ISNUMBER('ثبت معامله'!$S$260),'ثبت معامله'!$S$260,NA())</f>
        <v/>
      </c>
    </row>
    <row r="259">
      <c r="A259">
        <f>IF(ISNUMBER('ثبت معامله'!$S$261),257,NA())</f>
        <v/>
      </c>
      <c r="B259" s="60">
        <f>IF(ISNUMBER('ثبت معامله'!$S$261),'ثبت معامله'!$S$261,NA())</f>
        <v/>
      </c>
    </row>
    <row r="260">
      <c r="A260">
        <f>IF(ISNUMBER('ثبت معامله'!$S$262),258,NA())</f>
        <v/>
      </c>
      <c r="B260" s="60">
        <f>IF(ISNUMBER('ثبت معامله'!$S$262),'ثبت معامله'!$S$262,NA())</f>
        <v/>
      </c>
    </row>
    <row r="261">
      <c r="A261">
        <f>IF(ISNUMBER('ثبت معامله'!$S$263),259,NA())</f>
        <v/>
      </c>
      <c r="B261" s="60">
        <f>IF(ISNUMBER('ثبت معامله'!$S$263),'ثبت معامله'!$S$263,NA())</f>
        <v/>
      </c>
    </row>
    <row r="262">
      <c r="A262">
        <f>IF(ISNUMBER('ثبت معامله'!$S$264),260,NA())</f>
        <v/>
      </c>
      <c r="B262" s="60">
        <f>IF(ISNUMBER('ثبت معامله'!$S$264),'ثبت معامله'!$S$264,NA())</f>
        <v/>
      </c>
    </row>
    <row r="263">
      <c r="A263">
        <f>IF(ISNUMBER('ثبت معامله'!$S$265),261,NA())</f>
        <v/>
      </c>
      <c r="B263" s="60">
        <f>IF(ISNUMBER('ثبت معامله'!$S$265),'ثبت معامله'!$S$265,NA())</f>
        <v/>
      </c>
    </row>
    <row r="264">
      <c r="A264">
        <f>IF(ISNUMBER('ثبت معامله'!$S$266),262,NA())</f>
        <v/>
      </c>
      <c r="B264" s="60">
        <f>IF(ISNUMBER('ثبت معامله'!$S$266),'ثبت معامله'!$S$266,NA())</f>
        <v/>
      </c>
    </row>
    <row r="265">
      <c r="A265">
        <f>IF(ISNUMBER('ثبت معامله'!$S$267),263,NA())</f>
        <v/>
      </c>
      <c r="B265" s="60">
        <f>IF(ISNUMBER('ثبت معامله'!$S$267),'ثبت معامله'!$S$267,NA())</f>
        <v/>
      </c>
    </row>
    <row r="266">
      <c r="A266">
        <f>IF(ISNUMBER('ثبت معامله'!$S$268),264,NA())</f>
        <v/>
      </c>
      <c r="B266" s="60">
        <f>IF(ISNUMBER('ثبت معامله'!$S$268),'ثبت معامله'!$S$268,NA())</f>
        <v/>
      </c>
    </row>
    <row r="267">
      <c r="A267">
        <f>IF(ISNUMBER('ثبت معامله'!$S$269),265,NA())</f>
        <v/>
      </c>
      <c r="B267" s="60">
        <f>IF(ISNUMBER('ثبت معامله'!$S$269),'ثبت معامله'!$S$269,NA())</f>
        <v/>
      </c>
    </row>
    <row r="268">
      <c r="A268">
        <f>IF(ISNUMBER('ثبت معامله'!$S$270),266,NA())</f>
        <v/>
      </c>
      <c r="B268" s="60">
        <f>IF(ISNUMBER('ثبت معامله'!$S$270),'ثبت معامله'!$S$270,NA())</f>
        <v/>
      </c>
    </row>
    <row r="269">
      <c r="A269">
        <f>IF(ISNUMBER('ثبت معامله'!$S$271),267,NA())</f>
        <v/>
      </c>
      <c r="B269" s="60">
        <f>IF(ISNUMBER('ثبت معامله'!$S$271),'ثبت معامله'!$S$271,NA())</f>
        <v/>
      </c>
    </row>
    <row r="270">
      <c r="A270">
        <f>IF(ISNUMBER('ثبت معامله'!$S$272),268,NA())</f>
        <v/>
      </c>
      <c r="B270" s="60">
        <f>IF(ISNUMBER('ثبت معامله'!$S$272),'ثبت معامله'!$S$272,NA())</f>
        <v/>
      </c>
    </row>
    <row r="271">
      <c r="A271">
        <f>IF(ISNUMBER('ثبت معامله'!$S$273),269,NA())</f>
        <v/>
      </c>
      <c r="B271" s="60">
        <f>IF(ISNUMBER('ثبت معامله'!$S$273),'ثبت معامله'!$S$273,NA())</f>
        <v/>
      </c>
    </row>
    <row r="272">
      <c r="A272">
        <f>IF(ISNUMBER('ثبت معامله'!$S$274),270,NA())</f>
        <v/>
      </c>
      <c r="B272" s="60">
        <f>IF(ISNUMBER('ثبت معامله'!$S$274),'ثبت معامله'!$S$274,NA())</f>
        <v/>
      </c>
    </row>
    <row r="273">
      <c r="A273">
        <f>IF(ISNUMBER('ثبت معامله'!$S$275),271,NA())</f>
        <v/>
      </c>
      <c r="B273" s="60">
        <f>IF(ISNUMBER('ثبت معامله'!$S$275),'ثبت معامله'!$S$275,NA())</f>
        <v/>
      </c>
    </row>
    <row r="274">
      <c r="A274">
        <f>IF(ISNUMBER('ثبت معامله'!$S$276),272,NA())</f>
        <v/>
      </c>
      <c r="B274" s="60">
        <f>IF(ISNUMBER('ثبت معامله'!$S$276),'ثبت معامله'!$S$276,NA())</f>
        <v/>
      </c>
    </row>
    <row r="275">
      <c r="A275">
        <f>IF(ISNUMBER('ثبت معامله'!$S$277),273,NA())</f>
        <v/>
      </c>
      <c r="B275" s="60">
        <f>IF(ISNUMBER('ثبت معامله'!$S$277),'ثبت معامله'!$S$277,NA())</f>
        <v/>
      </c>
    </row>
    <row r="276">
      <c r="A276">
        <f>IF(ISNUMBER('ثبت معامله'!$S$278),274,NA())</f>
        <v/>
      </c>
      <c r="B276" s="60">
        <f>IF(ISNUMBER('ثبت معامله'!$S$278),'ثبت معامله'!$S$278,NA())</f>
        <v/>
      </c>
    </row>
    <row r="277">
      <c r="A277">
        <f>IF(ISNUMBER('ثبت معامله'!$S$279),275,NA())</f>
        <v/>
      </c>
      <c r="B277" s="60">
        <f>IF(ISNUMBER('ثبت معامله'!$S$279),'ثبت معامله'!$S$279,NA())</f>
        <v/>
      </c>
    </row>
    <row r="278">
      <c r="A278">
        <f>IF(ISNUMBER('ثبت معامله'!$S$280),276,NA())</f>
        <v/>
      </c>
      <c r="B278" s="60">
        <f>IF(ISNUMBER('ثبت معامله'!$S$280),'ثبت معامله'!$S$280,NA())</f>
        <v/>
      </c>
    </row>
    <row r="279">
      <c r="A279">
        <f>IF(ISNUMBER('ثبت معامله'!$S$281),277,NA())</f>
        <v/>
      </c>
      <c r="B279" s="60">
        <f>IF(ISNUMBER('ثبت معامله'!$S$281),'ثبت معامله'!$S$281,NA())</f>
        <v/>
      </c>
    </row>
    <row r="280">
      <c r="A280">
        <f>IF(ISNUMBER('ثبت معامله'!$S$282),278,NA())</f>
        <v/>
      </c>
      <c r="B280" s="60">
        <f>IF(ISNUMBER('ثبت معامله'!$S$282),'ثبت معامله'!$S$282,NA())</f>
        <v/>
      </c>
    </row>
    <row r="281">
      <c r="A281">
        <f>IF(ISNUMBER('ثبت معامله'!$S$283),279,NA())</f>
        <v/>
      </c>
      <c r="B281" s="60">
        <f>IF(ISNUMBER('ثبت معامله'!$S$283),'ثبت معامله'!$S$283,NA())</f>
        <v/>
      </c>
    </row>
    <row r="282">
      <c r="A282">
        <f>IF(ISNUMBER('ثبت معامله'!$S$284),280,NA())</f>
        <v/>
      </c>
      <c r="B282" s="60">
        <f>IF(ISNUMBER('ثبت معامله'!$S$284),'ثبت معامله'!$S$284,NA())</f>
        <v/>
      </c>
    </row>
    <row r="283">
      <c r="A283">
        <f>IF(ISNUMBER('ثبت معامله'!$S$285),281,NA())</f>
        <v/>
      </c>
      <c r="B283" s="60">
        <f>IF(ISNUMBER('ثبت معامله'!$S$285),'ثبت معامله'!$S$285,NA())</f>
        <v/>
      </c>
    </row>
    <row r="284">
      <c r="A284">
        <f>IF(ISNUMBER('ثبت معامله'!$S$286),282,NA())</f>
        <v/>
      </c>
      <c r="B284" s="60">
        <f>IF(ISNUMBER('ثبت معامله'!$S$286),'ثبت معامله'!$S$286,NA())</f>
        <v/>
      </c>
    </row>
    <row r="285">
      <c r="A285">
        <f>IF(ISNUMBER('ثبت معامله'!$S$287),283,NA())</f>
        <v/>
      </c>
      <c r="B285" s="60">
        <f>IF(ISNUMBER('ثبت معامله'!$S$287),'ثبت معامله'!$S$287,NA())</f>
        <v/>
      </c>
    </row>
    <row r="286">
      <c r="A286">
        <f>IF(ISNUMBER('ثبت معامله'!$S$288),284,NA())</f>
        <v/>
      </c>
      <c r="B286" s="60">
        <f>IF(ISNUMBER('ثبت معامله'!$S$288),'ثبت معامله'!$S$288,NA())</f>
        <v/>
      </c>
    </row>
    <row r="287">
      <c r="A287">
        <f>IF(ISNUMBER('ثبت معامله'!$S$289),285,NA())</f>
        <v/>
      </c>
      <c r="B287" s="60">
        <f>IF(ISNUMBER('ثبت معامله'!$S$289),'ثبت معامله'!$S$289,NA())</f>
        <v/>
      </c>
    </row>
    <row r="288">
      <c r="A288">
        <f>IF(ISNUMBER('ثبت معامله'!$S$290),286,NA())</f>
        <v/>
      </c>
      <c r="B288" s="60">
        <f>IF(ISNUMBER('ثبت معامله'!$S$290),'ثبت معامله'!$S$290,NA())</f>
        <v/>
      </c>
    </row>
    <row r="289">
      <c r="A289">
        <f>IF(ISNUMBER('ثبت معامله'!$S$291),287,NA())</f>
        <v/>
      </c>
      <c r="B289" s="60">
        <f>IF(ISNUMBER('ثبت معامله'!$S$291),'ثبت معامله'!$S$291,NA())</f>
        <v/>
      </c>
    </row>
    <row r="290">
      <c r="A290">
        <f>IF(ISNUMBER('ثبت معامله'!$S$292),288,NA())</f>
        <v/>
      </c>
      <c r="B290" s="60">
        <f>IF(ISNUMBER('ثبت معامله'!$S$292),'ثبت معامله'!$S$292,NA())</f>
        <v/>
      </c>
    </row>
    <row r="291">
      <c r="A291">
        <f>IF(ISNUMBER('ثبت معامله'!$S$293),289,NA())</f>
        <v/>
      </c>
      <c r="B291" s="60">
        <f>IF(ISNUMBER('ثبت معامله'!$S$293),'ثبت معامله'!$S$293,NA())</f>
        <v/>
      </c>
    </row>
    <row r="292">
      <c r="A292">
        <f>IF(ISNUMBER('ثبت معامله'!$S$294),290,NA())</f>
        <v/>
      </c>
      <c r="B292" s="60">
        <f>IF(ISNUMBER('ثبت معامله'!$S$294),'ثبت معامله'!$S$294,NA())</f>
        <v/>
      </c>
    </row>
    <row r="293">
      <c r="A293">
        <f>IF(ISNUMBER('ثبت معامله'!$S$295),291,NA())</f>
        <v/>
      </c>
      <c r="B293" s="60">
        <f>IF(ISNUMBER('ثبت معامله'!$S$295),'ثبت معامله'!$S$295,NA())</f>
        <v/>
      </c>
    </row>
    <row r="294">
      <c r="A294">
        <f>IF(ISNUMBER('ثبت معامله'!$S$296),292,NA())</f>
        <v/>
      </c>
      <c r="B294" s="60">
        <f>IF(ISNUMBER('ثبت معامله'!$S$296),'ثبت معامله'!$S$296,NA())</f>
        <v/>
      </c>
    </row>
    <row r="295">
      <c r="A295">
        <f>IF(ISNUMBER('ثبت معامله'!$S$297),293,NA())</f>
        <v/>
      </c>
      <c r="B295" s="60">
        <f>IF(ISNUMBER('ثبت معامله'!$S$297),'ثبت معامله'!$S$297,NA())</f>
        <v/>
      </c>
    </row>
    <row r="296">
      <c r="A296">
        <f>IF(ISNUMBER('ثبت معامله'!$S$298),294,NA())</f>
        <v/>
      </c>
      <c r="B296" s="60">
        <f>IF(ISNUMBER('ثبت معامله'!$S$298),'ثبت معامله'!$S$298,NA())</f>
        <v/>
      </c>
    </row>
    <row r="297">
      <c r="A297">
        <f>IF(ISNUMBER('ثبت معامله'!$S$299),295,NA())</f>
        <v/>
      </c>
      <c r="B297" s="60">
        <f>IF(ISNUMBER('ثبت معامله'!$S$299),'ثبت معامله'!$S$299,NA())</f>
        <v/>
      </c>
    </row>
    <row r="298">
      <c r="A298">
        <f>IF(ISNUMBER('ثبت معامله'!$S$300),296,NA())</f>
        <v/>
      </c>
      <c r="B298" s="60">
        <f>IF(ISNUMBER('ثبت معامله'!$S$300),'ثبت معامله'!$S$300,NA())</f>
        <v/>
      </c>
    </row>
    <row r="299">
      <c r="A299">
        <f>IF(ISNUMBER('ثبت معامله'!$S$301),297,NA())</f>
        <v/>
      </c>
      <c r="B299" s="60">
        <f>IF(ISNUMBER('ثبت معامله'!$S$301),'ثبت معامله'!$S$301,NA())</f>
        <v/>
      </c>
    </row>
    <row r="300">
      <c r="A300">
        <f>IF(ISNUMBER('ثبت معامله'!$S$302),298,NA())</f>
        <v/>
      </c>
      <c r="B300" s="60">
        <f>IF(ISNUMBER('ثبت معامله'!$S$302),'ثبت معامله'!$S$302,NA())</f>
        <v/>
      </c>
    </row>
    <row r="301">
      <c r="A301">
        <f>IF(ISNUMBER('ثبت معامله'!$S$303),299,NA())</f>
        <v/>
      </c>
      <c r="B301" s="60">
        <f>IF(ISNUMBER('ثبت معامله'!$S$303),'ثبت معامله'!$S$303,NA())</f>
        <v/>
      </c>
    </row>
    <row r="302">
      <c r="A302">
        <f>IF(ISNUMBER('ثبت معامله'!$S$304),300,NA())</f>
        <v/>
      </c>
      <c r="B302" s="60">
        <f>IF(ISNUMBER('ثبت معامله'!$S$304),'ثبت معامله'!$S$304,NA())</f>
        <v/>
      </c>
    </row>
    <row r="303">
      <c r="A303">
        <f>IF(ISNUMBER('ثبت معامله'!$S$305),301,NA())</f>
        <v/>
      </c>
      <c r="B303" s="60">
        <f>IF(ISNUMBER('ثبت معامله'!$S$305),'ثبت معامله'!$S$305,NA())</f>
        <v/>
      </c>
    </row>
    <row r="304">
      <c r="A304">
        <f>IF(ISNUMBER('ثبت معامله'!$S$306),302,NA())</f>
        <v/>
      </c>
      <c r="B304" s="60">
        <f>IF(ISNUMBER('ثبت معامله'!$S$306),'ثبت معامله'!$S$306,NA())</f>
        <v/>
      </c>
    </row>
    <row r="305">
      <c r="A305">
        <f>IF(ISNUMBER('ثبت معامله'!$S$307),303,NA())</f>
        <v/>
      </c>
      <c r="B305" s="60">
        <f>IF(ISNUMBER('ثبت معامله'!$S$307),'ثبت معامله'!$S$307,NA())</f>
        <v/>
      </c>
    </row>
    <row r="306">
      <c r="A306">
        <f>IF(ISNUMBER('ثبت معامله'!$S$308),304,NA())</f>
        <v/>
      </c>
      <c r="B306" s="60">
        <f>IF(ISNUMBER('ثبت معامله'!$S$308),'ثبت معامله'!$S$308,NA())</f>
        <v/>
      </c>
    </row>
    <row r="307">
      <c r="A307">
        <f>IF(ISNUMBER('ثبت معامله'!$S$309),305,NA())</f>
        <v/>
      </c>
      <c r="B307" s="60">
        <f>IF(ISNUMBER('ثبت معامله'!$S$309),'ثبت معامله'!$S$309,NA())</f>
        <v/>
      </c>
    </row>
    <row r="308">
      <c r="A308">
        <f>IF(ISNUMBER('ثبت معامله'!$S$310),306,NA())</f>
        <v/>
      </c>
      <c r="B308" s="60">
        <f>IF(ISNUMBER('ثبت معامله'!$S$310),'ثبت معامله'!$S$310,NA())</f>
        <v/>
      </c>
    </row>
    <row r="309">
      <c r="A309">
        <f>IF(ISNUMBER('ثبت معامله'!$S$311),307,NA())</f>
        <v/>
      </c>
      <c r="B309" s="60">
        <f>IF(ISNUMBER('ثبت معامله'!$S$311),'ثبت معامله'!$S$311,NA())</f>
        <v/>
      </c>
    </row>
    <row r="310">
      <c r="A310">
        <f>IF(ISNUMBER('ثبت معامله'!$S$312),308,NA())</f>
        <v/>
      </c>
      <c r="B310" s="60">
        <f>IF(ISNUMBER('ثبت معامله'!$S$312),'ثبت معامله'!$S$312,NA())</f>
        <v/>
      </c>
    </row>
    <row r="311">
      <c r="A311">
        <f>IF(ISNUMBER('ثبت معامله'!$S$313),309,NA())</f>
        <v/>
      </c>
      <c r="B311" s="60">
        <f>IF(ISNUMBER('ثبت معامله'!$S$313),'ثبت معامله'!$S$313,NA())</f>
        <v/>
      </c>
    </row>
    <row r="312">
      <c r="A312">
        <f>IF(ISNUMBER('ثبت معامله'!$S$314),310,NA())</f>
        <v/>
      </c>
      <c r="B312" s="60">
        <f>IF(ISNUMBER('ثبت معامله'!$S$314),'ثبت معامله'!$S$314,NA())</f>
        <v/>
      </c>
    </row>
    <row r="313">
      <c r="A313">
        <f>IF(ISNUMBER('ثبت معامله'!$S$315),311,NA())</f>
        <v/>
      </c>
      <c r="B313" s="60">
        <f>IF(ISNUMBER('ثبت معامله'!$S$315),'ثبت معامله'!$S$315,NA())</f>
        <v/>
      </c>
    </row>
    <row r="314">
      <c r="A314">
        <f>IF(ISNUMBER('ثبت معامله'!$S$316),312,NA())</f>
        <v/>
      </c>
      <c r="B314" s="60">
        <f>IF(ISNUMBER('ثبت معامله'!$S$316),'ثبت معامله'!$S$316,NA())</f>
        <v/>
      </c>
    </row>
    <row r="315">
      <c r="A315">
        <f>IF(ISNUMBER('ثبت معامله'!$S$317),313,NA())</f>
        <v/>
      </c>
      <c r="B315" s="60">
        <f>IF(ISNUMBER('ثبت معامله'!$S$317),'ثبت معامله'!$S$317,NA())</f>
        <v/>
      </c>
    </row>
    <row r="316">
      <c r="A316">
        <f>IF(ISNUMBER('ثبت معامله'!$S$318),314,NA())</f>
        <v/>
      </c>
      <c r="B316" s="60">
        <f>IF(ISNUMBER('ثبت معامله'!$S$318),'ثبت معامله'!$S$318,NA())</f>
        <v/>
      </c>
    </row>
    <row r="317">
      <c r="A317">
        <f>IF(ISNUMBER('ثبت معامله'!$S$319),315,NA())</f>
        <v/>
      </c>
      <c r="B317" s="60">
        <f>IF(ISNUMBER('ثبت معامله'!$S$319),'ثبت معامله'!$S$319,NA())</f>
        <v/>
      </c>
    </row>
    <row r="318">
      <c r="A318">
        <f>IF(ISNUMBER('ثبت معامله'!$S$320),316,NA())</f>
        <v/>
      </c>
      <c r="B318" s="60">
        <f>IF(ISNUMBER('ثبت معامله'!$S$320),'ثبت معامله'!$S$320,NA())</f>
        <v/>
      </c>
    </row>
    <row r="319">
      <c r="A319">
        <f>IF(ISNUMBER('ثبت معامله'!$S$321),317,NA())</f>
        <v/>
      </c>
      <c r="B319" s="60">
        <f>IF(ISNUMBER('ثبت معامله'!$S$321),'ثبت معامله'!$S$321,NA())</f>
        <v/>
      </c>
    </row>
    <row r="320">
      <c r="A320">
        <f>IF(ISNUMBER('ثبت معامله'!$S$322),318,NA())</f>
        <v/>
      </c>
      <c r="B320" s="60">
        <f>IF(ISNUMBER('ثبت معامله'!$S$322),'ثبت معامله'!$S$322,NA())</f>
        <v/>
      </c>
    </row>
    <row r="321">
      <c r="A321">
        <f>IF(ISNUMBER('ثبت معامله'!$S$323),319,NA())</f>
        <v/>
      </c>
      <c r="B321" s="60">
        <f>IF(ISNUMBER('ثبت معامله'!$S$323),'ثبت معامله'!$S$323,NA())</f>
        <v/>
      </c>
    </row>
    <row r="322">
      <c r="A322">
        <f>IF(ISNUMBER('ثبت معامله'!$S$324),320,NA())</f>
        <v/>
      </c>
      <c r="B322" s="60">
        <f>IF(ISNUMBER('ثبت معامله'!$S$324),'ثبت معامله'!$S$324,NA())</f>
        <v/>
      </c>
    </row>
    <row r="323">
      <c r="A323">
        <f>IF(ISNUMBER('ثبت معامله'!$S$325),321,NA())</f>
        <v/>
      </c>
      <c r="B323" s="60">
        <f>IF(ISNUMBER('ثبت معامله'!$S$325),'ثبت معامله'!$S$325,NA())</f>
        <v/>
      </c>
    </row>
    <row r="324">
      <c r="A324">
        <f>IF(ISNUMBER('ثبت معامله'!$S$326),322,NA())</f>
        <v/>
      </c>
      <c r="B324" s="60">
        <f>IF(ISNUMBER('ثبت معامله'!$S$326),'ثبت معامله'!$S$326,NA())</f>
        <v/>
      </c>
    </row>
    <row r="325">
      <c r="A325">
        <f>IF(ISNUMBER('ثبت معامله'!$S$327),323,NA())</f>
        <v/>
      </c>
      <c r="B325" s="60">
        <f>IF(ISNUMBER('ثبت معامله'!$S$327),'ثبت معامله'!$S$327,NA())</f>
        <v/>
      </c>
    </row>
    <row r="326">
      <c r="A326">
        <f>IF(ISNUMBER('ثبت معامله'!$S$328),324,NA())</f>
        <v/>
      </c>
      <c r="B326" s="60">
        <f>IF(ISNUMBER('ثبت معامله'!$S$328),'ثبت معامله'!$S$328,NA())</f>
        <v/>
      </c>
    </row>
    <row r="327">
      <c r="A327">
        <f>IF(ISNUMBER('ثبت معامله'!$S$329),325,NA())</f>
        <v/>
      </c>
      <c r="B327" s="60">
        <f>IF(ISNUMBER('ثبت معامله'!$S$329),'ثبت معامله'!$S$329,NA())</f>
        <v/>
      </c>
    </row>
    <row r="328">
      <c r="A328">
        <f>IF(ISNUMBER('ثبت معامله'!$S$330),326,NA())</f>
        <v/>
      </c>
      <c r="B328" s="60">
        <f>IF(ISNUMBER('ثبت معامله'!$S$330),'ثبت معامله'!$S$330,NA())</f>
        <v/>
      </c>
    </row>
    <row r="329">
      <c r="A329">
        <f>IF(ISNUMBER('ثبت معامله'!$S$331),327,NA())</f>
        <v/>
      </c>
      <c r="B329" s="60">
        <f>IF(ISNUMBER('ثبت معامله'!$S$331),'ثبت معامله'!$S$331,NA())</f>
        <v/>
      </c>
    </row>
    <row r="330">
      <c r="A330">
        <f>IF(ISNUMBER('ثبت معامله'!$S$332),328,NA())</f>
        <v/>
      </c>
      <c r="B330" s="60">
        <f>IF(ISNUMBER('ثبت معامله'!$S$332),'ثبت معامله'!$S$332,NA())</f>
        <v/>
      </c>
    </row>
    <row r="331">
      <c r="A331">
        <f>IF(ISNUMBER('ثبت معامله'!$S$333),329,NA())</f>
        <v/>
      </c>
      <c r="B331" s="60">
        <f>IF(ISNUMBER('ثبت معامله'!$S$333),'ثبت معامله'!$S$333,NA())</f>
        <v/>
      </c>
    </row>
    <row r="332">
      <c r="A332">
        <f>IF(ISNUMBER('ثبت معامله'!$S$334),330,NA())</f>
        <v/>
      </c>
      <c r="B332" s="60">
        <f>IF(ISNUMBER('ثبت معامله'!$S$334),'ثبت معامله'!$S$334,NA())</f>
        <v/>
      </c>
    </row>
    <row r="333">
      <c r="A333">
        <f>IF(ISNUMBER('ثبت معامله'!$S$335),331,NA())</f>
        <v/>
      </c>
      <c r="B333" s="60">
        <f>IF(ISNUMBER('ثبت معامله'!$S$335),'ثبت معامله'!$S$335,NA())</f>
        <v/>
      </c>
    </row>
    <row r="334">
      <c r="A334">
        <f>IF(ISNUMBER('ثبت معامله'!$S$336),332,NA())</f>
        <v/>
      </c>
      <c r="B334" s="60">
        <f>IF(ISNUMBER('ثبت معامله'!$S$336),'ثبت معامله'!$S$336,NA())</f>
        <v/>
      </c>
    </row>
    <row r="335">
      <c r="A335">
        <f>IF(ISNUMBER('ثبت معامله'!$S$337),333,NA())</f>
        <v/>
      </c>
      <c r="B335" s="60">
        <f>IF(ISNUMBER('ثبت معامله'!$S$337),'ثبت معامله'!$S$337,NA())</f>
        <v/>
      </c>
    </row>
    <row r="336">
      <c r="A336">
        <f>IF(ISNUMBER('ثبت معامله'!$S$338),334,NA())</f>
        <v/>
      </c>
      <c r="B336" s="60">
        <f>IF(ISNUMBER('ثبت معامله'!$S$338),'ثبت معامله'!$S$338,NA())</f>
        <v/>
      </c>
    </row>
    <row r="337">
      <c r="A337">
        <f>IF(ISNUMBER('ثبت معامله'!$S$339),335,NA())</f>
        <v/>
      </c>
      <c r="B337" s="60">
        <f>IF(ISNUMBER('ثبت معامله'!$S$339),'ثبت معامله'!$S$339,NA())</f>
        <v/>
      </c>
    </row>
    <row r="338">
      <c r="A338">
        <f>IF(ISNUMBER('ثبت معامله'!$S$340),336,NA())</f>
        <v/>
      </c>
      <c r="B338" s="60">
        <f>IF(ISNUMBER('ثبت معامله'!$S$340),'ثبت معامله'!$S$340,NA())</f>
        <v/>
      </c>
    </row>
    <row r="339">
      <c r="A339">
        <f>IF(ISNUMBER('ثبت معامله'!$S$341),337,NA())</f>
        <v/>
      </c>
      <c r="B339" s="60">
        <f>IF(ISNUMBER('ثبت معامله'!$S$341),'ثبت معامله'!$S$341,NA())</f>
        <v/>
      </c>
    </row>
    <row r="340">
      <c r="A340">
        <f>IF(ISNUMBER('ثبت معامله'!$S$342),338,NA())</f>
        <v/>
      </c>
      <c r="B340" s="60">
        <f>IF(ISNUMBER('ثبت معامله'!$S$342),'ثبت معامله'!$S$342,NA())</f>
        <v/>
      </c>
    </row>
    <row r="341">
      <c r="A341">
        <f>IF(ISNUMBER('ثبت معامله'!$S$343),339,NA())</f>
        <v/>
      </c>
      <c r="B341" s="60">
        <f>IF(ISNUMBER('ثبت معامله'!$S$343),'ثبت معامله'!$S$343,NA())</f>
        <v/>
      </c>
    </row>
    <row r="342">
      <c r="A342">
        <f>IF(ISNUMBER('ثبت معامله'!$S$344),340,NA())</f>
        <v/>
      </c>
      <c r="B342" s="60">
        <f>IF(ISNUMBER('ثبت معامله'!$S$344),'ثبت معامله'!$S$344,NA())</f>
        <v/>
      </c>
    </row>
    <row r="343">
      <c r="A343">
        <f>IF(ISNUMBER('ثبت معامله'!$S$345),341,NA())</f>
        <v/>
      </c>
      <c r="B343" s="60">
        <f>IF(ISNUMBER('ثبت معامله'!$S$345),'ثبت معامله'!$S$345,NA())</f>
        <v/>
      </c>
    </row>
    <row r="344">
      <c r="A344">
        <f>IF(ISNUMBER('ثبت معامله'!$S$346),342,NA())</f>
        <v/>
      </c>
      <c r="B344" s="60">
        <f>IF(ISNUMBER('ثبت معامله'!$S$346),'ثبت معامله'!$S$346,NA())</f>
        <v/>
      </c>
    </row>
    <row r="345">
      <c r="A345">
        <f>IF(ISNUMBER('ثبت معامله'!$S$347),343,NA())</f>
        <v/>
      </c>
      <c r="B345" s="60">
        <f>IF(ISNUMBER('ثبت معامله'!$S$347),'ثبت معامله'!$S$347,NA())</f>
        <v/>
      </c>
    </row>
    <row r="346">
      <c r="A346">
        <f>IF(ISNUMBER('ثبت معامله'!$S$348),344,NA())</f>
        <v/>
      </c>
      <c r="B346" s="60">
        <f>IF(ISNUMBER('ثبت معامله'!$S$348),'ثبت معامله'!$S$348,NA())</f>
        <v/>
      </c>
    </row>
    <row r="347">
      <c r="A347">
        <f>IF(ISNUMBER('ثبت معامله'!$S$349),345,NA())</f>
        <v/>
      </c>
      <c r="B347" s="60">
        <f>IF(ISNUMBER('ثبت معامله'!$S$349),'ثبت معامله'!$S$349,NA())</f>
        <v/>
      </c>
    </row>
    <row r="348">
      <c r="A348">
        <f>IF(ISNUMBER('ثبت معامله'!$S$350),346,NA())</f>
        <v/>
      </c>
      <c r="B348" s="60">
        <f>IF(ISNUMBER('ثبت معامله'!$S$350),'ثبت معامله'!$S$350,NA())</f>
        <v/>
      </c>
    </row>
    <row r="349">
      <c r="A349">
        <f>IF(ISNUMBER('ثبت معامله'!$S$351),347,NA())</f>
        <v/>
      </c>
      <c r="B349" s="60">
        <f>IF(ISNUMBER('ثبت معامله'!$S$351),'ثبت معامله'!$S$351,NA())</f>
        <v/>
      </c>
    </row>
    <row r="350">
      <c r="A350">
        <f>IF(ISNUMBER('ثبت معامله'!$S$352),348,NA())</f>
        <v/>
      </c>
      <c r="B350" s="60">
        <f>IF(ISNUMBER('ثبت معامله'!$S$352),'ثبت معامله'!$S$352,NA())</f>
        <v/>
      </c>
    </row>
    <row r="351">
      <c r="A351">
        <f>IF(ISNUMBER('ثبت معامله'!$S$353),349,NA())</f>
        <v/>
      </c>
      <c r="B351" s="60">
        <f>IF(ISNUMBER('ثبت معامله'!$S$353),'ثبت معامله'!$S$353,NA())</f>
        <v/>
      </c>
    </row>
    <row r="352">
      <c r="A352">
        <f>IF(ISNUMBER('ثبت معامله'!$S$354),350,NA())</f>
        <v/>
      </c>
      <c r="B352" s="60">
        <f>IF(ISNUMBER('ثبت معامله'!$S$354),'ثبت معامله'!$S$354,NA())</f>
        <v/>
      </c>
    </row>
    <row r="353">
      <c r="A353">
        <f>IF(ISNUMBER('ثبت معامله'!$S$355),351,NA())</f>
        <v/>
      </c>
      <c r="B353" s="60">
        <f>IF(ISNUMBER('ثبت معامله'!$S$355),'ثبت معامله'!$S$355,NA())</f>
        <v/>
      </c>
    </row>
    <row r="354">
      <c r="A354">
        <f>IF(ISNUMBER('ثبت معامله'!$S$356),352,NA())</f>
        <v/>
      </c>
      <c r="B354" s="60">
        <f>IF(ISNUMBER('ثبت معامله'!$S$356),'ثبت معامله'!$S$356,NA())</f>
        <v/>
      </c>
    </row>
    <row r="355">
      <c r="A355">
        <f>IF(ISNUMBER('ثبت معامله'!$S$357),353,NA())</f>
        <v/>
      </c>
      <c r="B355" s="60">
        <f>IF(ISNUMBER('ثبت معامله'!$S$357),'ثبت معامله'!$S$357,NA())</f>
        <v/>
      </c>
    </row>
    <row r="356">
      <c r="A356">
        <f>IF(ISNUMBER('ثبت معامله'!$S$358),354,NA())</f>
        <v/>
      </c>
      <c r="B356" s="60">
        <f>IF(ISNUMBER('ثبت معامله'!$S$358),'ثبت معامله'!$S$358,NA())</f>
        <v/>
      </c>
    </row>
    <row r="357">
      <c r="A357">
        <f>IF(ISNUMBER('ثبت معامله'!$S$359),355,NA())</f>
        <v/>
      </c>
      <c r="B357" s="60">
        <f>IF(ISNUMBER('ثبت معامله'!$S$359),'ثبت معامله'!$S$359,NA())</f>
        <v/>
      </c>
    </row>
    <row r="358">
      <c r="A358">
        <f>IF(ISNUMBER('ثبت معامله'!$S$360),356,NA())</f>
        <v/>
      </c>
      <c r="B358" s="60">
        <f>IF(ISNUMBER('ثبت معامله'!$S$360),'ثبت معامله'!$S$360,NA())</f>
        <v/>
      </c>
    </row>
    <row r="359">
      <c r="A359">
        <f>IF(ISNUMBER('ثبت معامله'!$S$361),357,NA())</f>
        <v/>
      </c>
      <c r="B359" s="60">
        <f>IF(ISNUMBER('ثبت معامله'!$S$361),'ثبت معامله'!$S$361,NA())</f>
        <v/>
      </c>
    </row>
    <row r="360">
      <c r="A360">
        <f>IF(ISNUMBER('ثبت معامله'!$S$362),358,NA())</f>
        <v/>
      </c>
      <c r="B360" s="60">
        <f>IF(ISNUMBER('ثبت معامله'!$S$362),'ثبت معامله'!$S$362,NA())</f>
        <v/>
      </c>
    </row>
    <row r="361">
      <c r="A361">
        <f>IF(ISNUMBER('ثبت معامله'!$S$363),359,NA())</f>
        <v/>
      </c>
      <c r="B361" s="60">
        <f>IF(ISNUMBER('ثبت معامله'!$S$363),'ثبت معامله'!$S$363,NA())</f>
        <v/>
      </c>
    </row>
    <row r="362">
      <c r="A362">
        <f>IF(ISNUMBER('ثبت معامله'!$S$364),360,NA())</f>
        <v/>
      </c>
      <c r="B362" s="60">
        <f>IF(ISNUMBER('ثبت معامله'!$S$364),'ثبت معامله'!$S$364,NA())</f>
        <v/>
      </c>
    </row>
    <row r="363">
      <c r="A363">
        <f>IF(ISNUMBER('ثبت معامله'!$S$365),361,NA())</f>
        <v/>
      </c>
      <c r="B363" s="60">
        <f>IF(ISNUMBER('ثبت معامله'!$S$365),'ثبت معامله'!$S$365,NA())</f>
        <v/>
      </c>
    </row>
    <row r="364">
      <c r="A364">
        <f>IF(ISNUMBER('ثبت معامله'!$S$366),362,NA())</f>
        <v/>
      </c>
      <c r="B364" s="60">
        <f>IF(ISNUMBER('ثبت معامله'!$S$366),'ثبت معامله'!$S$366,NA())</f>
        <v/>
      </c>
    </row>
    <row r="365">
      <c r="A365">
        <f>IF(ISNUMBER('ثبت معامله'!$S$367),363,NA())</f>
        <v/>
      </c>
      <c r="B365" s="60">
        <f>IF(ISNUMBER('ثبت معامله'!$S$367),'ثبت معامله'!$S$367,NA())</f>
        <v/>
      </c>
    </row>
    <row r="366">
      <c r="A366">
        <f>IF(ISNUMBER('ثبت معامله'!$S$368),364,NA())</f>
        <v/>
      </c>
      <c r="B366" s="60">
        <f>IF(ISNUMBER('ثبت معامله'!$S$368),'ثبت معامله'!$S$368,NA())</f>
        <v/>
      </c>
    </row>
    <row r="367">
      <c r="A367">
        <f>IF(ISNUMBER('ثبت معامله'!$S$369),365,NA())</f>
        <v/>
      </c>
      <c r="B367" s="60">
        <f>IF(ISNUMBER('ثبت معامله'!$S$369),'ثبت معامله'!$S$369,NA())</f>
        <v/>
      </c>
    </row>
    <row r="368">
      <c r="A368">
        <f>IF(ISNUMBER('ثبت معامله'!$S$370),366,NA())</f>
        <v/>
      </c>
      <c r="B368" s="60">
        <f>IF(ISNUMBER('ثبت معامله'!$S$370),'ثبت معامله'!$S$370,NA())</f>
        <v/>
      </c>
    </row>
    <row r="369">
      <c r="A369">
        <f>IF(ISNUMBER('ثبت معامله'!$S$371),367,NA())</f>
        <v/>
      </c>
      <c r="B369" s="60">
        <f>IF(ISNUMBER('ثبت معامله'!$S$371),'ثبت معامله'!$S$371,NA())</f>
        <v/>
      </c>
    </row>
    <row r="370">
      <c r="A370">
        <f>IF(ISNUMBER('ثبت معامله'!$S$372),368,NA())</f>
        <v/>
      </c>
      <c r="B370" s="60">
        <f>IF(ISNUMBER('ثبت معامله'!$S$372),'ثبت معامله'!$S$372,NA())</f>
        <v/>
      </c>
    </row>
    <row r="371">
      <c r="A371">
        <f>IF(ISNUMBER('ثبت معامله'!$S$373),369,NA())</f>
        <v/>
      </c>
      <c r="B371" s="60">
        <f>IF(ISNUMBER('ثبت معامله'!$S$373),'ثبت معامله'!$S$373,NA())</f>
        <v/>
      </c>
    </row>
    <row r="372">
      <c r="A372">
        <f>IF(ISNUMBER('ثبت معامله'!$S$374),370,NA())</f>
        <v/>
      </c>
      <c r="B372" s="60">
        <f>IF(ISNUMBER('ثبت معامله'!$S$374),'ثبت معامله'!$S$374,NA())</f>
        <v/>
      </c>
    </row>
    <row r="373">
      <c r="A373">
        <f>IF(ISNUMBER('ثبت معامله'!$S$375),371,NA())</f>
        <v/>
      </c>
      <c r="B373" s="60">
        <f>IF(ISNUMBER('ثبت معامله'!$S$375),'ثبت معامله'!$S$375,NA())</f>
        <v/>
      </c>
    </row>
    <row r="374">
      <c r="A374">
        <f>IF(ISNUMBER('ثبت معامله'!$S$376),372,NA())</f>
        <v/>
      </c>
      <c r="B374" s="60">
        <f>IF(ISNUMBER('ثبت معامله'!$S$376),'ثبت معامله'!$S$376,NA())</f>
        <v/>
      </c>
    </row>
    <row r="375">
      <c r="A375">
        <f>IF(ISNUMBER('ثبت معامله'!$S$377),373,NA())</f>
        <v/>
      </c>
      <c r="B375" s="60">
        <f>IF(ISNUMBER('ثبت معامله'!$S$377),'ثبت معامله'!$S$377,NA())</f>
        <v/>
      </c>
    </row>
    <row r="376">
      <c r="A376">
        <f>IF(ISNUMBER('ثبت معامله'!$S$378),374,NA())</f>
        <v/>
      </c>
      <c r="B376" s="60">
        <f>IF(ISNUMBER('ثبت معامله'!$S$378),'ثبت معامله'!$S$378,NA())</f>
        <v/>
      </c>
    </row>
    <row r="377">
      <c r="A377">
        <f>IF(ISNUMBER('ثبت معامله'!$S$379),375,NA())</f>
        <v/>
      </c>
      <c r="B377" s="60">
        <f>IF(ISNUMBER('ثبت معامله'!$S$379),'ثبت معامله'!$S$379,NA())</f>
        <v/>
      </c>
    </row>
    <row r="378">
      <c r="A378">
        <f>IF(ISNUMBER('ثبت معامله'!$S$380),376,NA())</f>
        <v/>
      </c>
      <c r="B378" s="60">
        <f>IF(ISNUMBER('ثبت معامله'!$S$380),'ثبت معامله'!$S$380,NA())</f>
        <v/>
      </c>
    </row>
    <row r="379">
      <c r="A379">
        <f>IF(ISNUMBER('ثبت معامله'!$S$381),377,NA())</f>
        <v/>
      </c>
      <c r="B379" s="60">
        <f>IF(ISNUMBER('ثبت معامله'!$S$381),'ثبت معامله'!$S$381,NA())</f>
        <v/>
      </c>
    </row>
    <row r="380">
      <c r="A380">
        <f>IF(ISNUMBER('ثبت معامله'!$S$382),378,NA())</f>
        <v/>
      </c>
      <c r="B380" s="60">
        <f>IF(ISNUMBER('ثبت معامله'!$S$382),'ثبت معامله'!$S$382,NA())</f>
        <v/>
      </c>
    </row>
    <row r="381">
      <c r="A381">
        <f>IF(ISNUMBER('ثبت معامله'!$S$383),379,NA())</f>
        <v/>
      </c>
      <c r="B381" s="60">
        <f>IF(ISNUMBER('ثبت معامله'!$S$383),'ثبت معامله'!$S$383,NA())</f>
        <v/>
      </c>
    </row>
    <row r="382">
      <c r="A382">
        <f>IF(ISNUMBER('ثبت معامله'!$S$384),380,NA())</f>
        <v/>
      </c>
      <c r="B382" s="60">
        <f>IF(ISNUMBER('ثبت معامله'!$S$384),'ثبت معامله'!$S$384,NA())</f>
        <v/>
      </c>
    </row>
    <row r="383">
      <c r="A383">
        <f>IF(ISNUMBER('ثبت معامله'!$S$385),381,NA())</f>
        <v/>
      </c>
      <c r="B383" s="60">
        <f>IF(ISNUMBER('ثبت معامله'!$S$385),'ثبت معامله'!$S$385,NA())</f>
        <v/>
      </c>
    </row>
    <row r="384">
      <c r="A384">
        <f>IF(ISNUMBER('ثبت معامله'!$S$386),382,NA())</f>
        <v/>
      </c>
      <c r="B384" s="60">
        <f>IF(ISNUMBER('ثبت معامله'!$S$386),'ثبت معامله'!$S$386,NA())</f>
        <v/>
      </c>
    </row>
    <row r="385">
      <c r="A385">
        <f>IF(ISNUMBER('ثبت معامله'!$S$387),383,NA())</f>
        <v/>
      </c>
      <c r="B385" s="60">
        <f>IF(ISNUMBER('ثبت معامله'!$S$387),'ثبت معامله'!$S$387,NA())</f>
        <v/>
      </c>
    </row>
    <row r="386">
      <c r="A386">
        <f>IF(ISNUMBER('ثبت معامله'!$S$388),384,NA())</f>
        <v/>
      </c>
      <c r="B386" s="60">
        <f>IF(ISNUMBER('ثبت معامله'!$S$388),'ثبت معامله'!$S$388,NA())</f>
        <v/>
      </c>
    </row>
    <row r="387">
      <c r="A387">
        <f>IF(ISNUMBER('ثبت معامله'!$S$389),385,NA())</f>
        <v/>
      </c>
      <c r="B387" s="60">
        <f>IF(ISNUMBER('ثبت معامله'!$S$389),'ثبت معامله'!$S$389,NA())</f>
        <v/>
      </c>
    </row>
    <row r="388">
      <c r="A388">
        <f>IF(ISNUMBER('ثبت معامله'!$S$390),386,NA())</f>
        <v/>
      </c>
      <c r="B388" s="60">
        <f>IF(ISNUMBER('ثبت معامله'!$S$390),'ثبت معامله'!$S$390,NA())</f>
        <v/>
      </c>
    </row>
    <row r="389">
      <c r="A389">
        <f>IF(ISNUMBER('ثبت معامله'!$S$391),387,NA())</f>
        <v/>
      </c>
      <c r="B389" s="60">
        <f>IF(ISNUMBER('ثبت معامله'!$S$391),'ثبت معامله'!$S$391,NA())</f>
        <v/>
      </c>
    </row>
    <row r="390">
      <c r="A390">
        <f>IF(ISNUMBER('ثبت معامله'!$S$392),388,NA())</f>
        <v/>
      </c>
      <c r="B390" s="60">
        <f>IF(ISNUMBER('ثبت معامله'!$S$392),'ثبت معامله'!$S$392,NA())</f>
        <v/>
      </c>
    </row>
    <row r="391">
      <c r="A391">
        <f>IF(ISNUMBER('ثبت معامله'!$S$393),389,NA())</f>
        <v/>
      </c>
      <c r="B391" s="60">
        <f>IF(ISNUMBER('ثبت معامله'!$S$393),'ثبت معامله'!$S$393,NA())</f>
        <v/>
      </c>
    </row>
    <row r="392">
      <c r="A392">
        <f>IF(ISNUMBER('ثبت معامله'!$S$394),390,NA())</f>
        <v/>
      </c>
      <c r="B392" s="60">
        <f>IF(ISNUMBER('ثبت معامله'!$S$394),'ثبت معامله'!$S$394,NA())</f>
        <v/>
      </c>
    </row>
    <row r="393">
      <c r="A393">
        <f>IF(ISNUMBER('ثبت معامله'!$S$395),391,NA())</f>
        <v/>
      </c>
      <c r="B393" s="60">
        <f>IF(ISNUMBER('ثبت معامله'!$S$395),'ثبت معامله'!$S$395,NA())</f>
        <v/>
      </c>
    </row>
    <row r="394">
      <c r="A394">
        <f>IF(ISNUMBER('ثبت معامله'!$S$396),392,NA())</f>
        <v/>
      </c>
      <c r="B394" s="60">
        <f>IF(ISNUMBER('ثبت معامله'!$S$396),'ثبت معامله'!$S$396,NA())</f>
        <v/>
      </c>
    </row>
    <row r="395">
      <c r="A395">
        <f>IF(ISNUMBER('ثبت معامله'!$S$397),393,NA())</f>
        <v/>
      </c>
      <c r="B395" s="60">
        <f>IF(ISNUMBER('ثبت معامله'!$S$397),'ثبت معامله'!$S$397,NA())</f>
        <v/>
      </c>
    </row>
    <row r="396">
      <c r="A396">
        <f>IF(ISNUMBER('ثبت معامله'!$S$398),394,NA())</f>
        <v/>
      </c>
      <c r="B396" s="60">
        <f>IF(ISNUMBER('ثبت معامله'!$S$398),'ثبت معامله'!$S$398,NA())</f>
        <v/>
      </c>
    </row>
    <row r="397">
      <c r="A397">
        <f>IF(ISNUMBER('ثبت معامله'!$S$399),395,NA())</f>
        <v/>
      </c>
      <c r="B397" s="60">
        <f>IF(ISNUMBER('ثبت معامله'!$S$399),'ثبت معامله'!$S$399,NA())</f>
        <v/>
      </c>
    </row>
    <row r="398">
      <c r="A398">
        <f>IF(ISNUMBER('ثبت معامله'!$S$400),396,NA())</f>
        <v/>
      </c>
      <c r="B398" s="60">
        <f>IF(ISNUMBER('ثبت معامله'!$S$400),'ثبت معامله'!$S$400,NA())</f>
        <v/>
      </c>
    </row>
    <row r="399">
      <c r="A399">
        <f>IF(ISNUMBER('ثبت معامله'!$S$401),397,NA())</f>
        <v/>
      </c>
      <c r="B399" s="60">
        <f>IF(ISNUMBER('ثبت معامله'!$S$401),'ثبت معامله'!$S$401,NA())</f>
        <v/>
      </c>
    </row>
    <row r="400">
      <c r="A400">
        <f>IF(ISNUMBER('ثبت معامله'!$S$402),398,NA())</f>
        <v/>
      </c>
      <c r="B400" s="60">
        <f>IF(ISNUMBER('ثبت معامله'!$S$402),'ثبت معامله'!$S$402,NA())</f>
        <v/>
      </c>
    </row>
    <row r="401">
      <c r="A401">
        <f>IF(ISNUMBER('ثبت معامله'!$S$403),399,NA())</f>
        <v/>
      </c>
      <c r="B401" s="60">
        <f>IF(ISNUMBER('ثبت معامله'!$S$403),'ثبت معامله'!$S$403,NA())</f>
        <v/>
      </c>
    </row>
    <row r="402">
      <c r="A402">
        <f>IF(ISNUMBER('ثبت معامله'!$S$404),400,NA())</f>
        <v/>
      </c>
      <c r="B402" s="60">
        <f>IF(ISNUMBER('ثبت معامله'!$S$404),'ثبت معامله'!$S$404,NA())</f>
        <v/>
      </c>
    </row>
    <row r="403">
      <c r="A403">
        <f>IF(ISNUMBER('ثبت معامله'!$S$405),401,NA())</f>
        <v/>
      </c>
      <c r="B403" s="60">
        <f>IF(ISNUMBER('ثبت معامله'!$S$405),'ثبت معامله'!$S$405,NA())</f>
        <v/>
      </c>
    </row>
    <row r="404">
      <c r="A404">
        <f>IF(ISNUMBER('ثبت معامله'!$S$406),402,NA())</f>
        <v/>
      </c>
      <c r="B404" s="60">
        <f>IF(ISNUMBER('ثبت معامله'!$S$406),'ثبت معامله'!$S$406,NA())</f>
        <v/>
      </c>
    </row>
    <row r="405">
      <c r="A405">
        <f>IF(ISNUMBER('ثبت معامله'!$S$407),403,NA())</f>
        <v/>
      </c>
      <c r="B405" s="60">
        <f>IF(ISNUMBER('ثبت معامله'!$S$407),'ثبت معامله'!$S$407,NA())</f>
        <v/>
      </c>
    </row>
    <row r="406">
      <c r="A406">
        <f>IF(ISNUMBER('ثبت معامله'!$S$408),404,NA())</f>
        <v/>
      </c>
      <c r="B406" s="60">
        <f>IF(ISNUMBER('ثبت معامله'!$S$408),'ثبت معامله'!$S$408,NA())</f>
        <v/>
      </c>
    </row>
    <row r="407">
      <c r="A407">
        <f>IF(ISNUMBER('ثبت معامله'!$S$409),405,NA())</f>
        <v/>
      </c>
      <c r="B407" s="60">
        <f>IF(ISNUMBER('ثبت معامله'!$S$409),'ثبت معامله'!$S$409,NA())</f>
        <v/>
      </c>
    </row>
    <row r="408">
      <c r="A408">
        <f>IF(ISNUMBER('ثبت معامله'!$S$410),406,NA())</f>
        <v/>
      </c>
      <c r="B408" s="60">
        <f>IF(ISNUMBER('ثبت معامله'!$S$410),'ثبت معامله'!$S$410,NA())</f>
        <v/>
      </c>
    </row>
    <row r="409">
      <c r="A409">
        <f>IF(ISNUMBER('ثبت معامله'!$S$411),407,NA())</f>
        <v/>
      </c>
      <c r="B409" s="60">
        <f>IF(ISNUMBER('ثبت معامله'!$S$411),'ثبت معامله'!$S$411,NA())</f>
        <v/>
      </c>
    </row>
    <row r="410">
      <c r="A410">
        <f>IF(ISNUMBER('ثبت معامله'!$S$412),408,NA())</f>
        <v/>
      </c>
      <c r="B410" s="60">
        <f>IF(ISNUMBER('ثبت معامله'!$S$412),'ثبت معامله'!$S$412,NA())</f>
        <v/>
      </c>
    </row>
    <row r="411">
      <c r="A411">
        <f>IF(ISNUMBER('ثبت معامله'!$S$413),409,NA())</f>
        <v/>
      </c>
      <c r="B411" s="60">
        <f>IF(ISNUMBER('ثبت معامله'!$S$413),'ثبت معامله'!$S$413,NA())</f>
        <v/>
      </c>
    </row>
    <row r="412">
      <c r="A412">
        <f>IF(ISNUMBER('ثبت معامله'!$S$414),410,NA())</f>
        <v/>
      </c>
      <c r="B412" s="60">
        <f>IF(ISNUMBER('ثبت معامله'!$S$414),'ثبت معامله'!$S$414,NA())</f>
        <v/>
      </c>
    </row>
    <row r="413">
      <c r="A413">
        <f>IF(ISNUMBER('ثبت معامله'!$S$415),411,NA())</f>
        <v/>
      </c>
      <c r="B413" s="60">
        <f>IF(ISNUMBER('ثبت معامله'!$S$415),'ثبت معامله'!$S$415,NA())</f>
        <v/>
      </c>
    </row>
    <row r="414">
      <c r="A414">
        <f>IF(ISNUMBER('ثبت معامله'!$S$416),412,NA())</f>
        <v/>
      </c>
      <c r="B414" s="60">
        <f>IF(ISNUMBER('ثبت معامله'!$S$416),'ثبت معامله'!$S$416,NA())</f>
        <v/>
      </c>
    </row>
    <row r="415">
      <c r="A415">
        <f>IF(ISNUMBER('ثبت معامله'!$S$417),413,NA())</f>
        <v/>
      </c>
      <c r="B415" s="60">
        <f>IF(ISNUMBER('ثبت معامله'!$S$417),'ثبت معامله'!$S$417,NA())</f>
        <v/>
      </c>
    </row>
    <row r="416">
      <c r="A416">
        <f>IF(ISNUMBER('ثبت معامله'!$S$418),414,NA())</f>
        <v/>
      </c>
      <c r="B416" s="60">
        <f>IF(ISNUMBER('ثبت معامله'!$S$418),'ثبت معامله'!$S$418,NA())</f>
        <v/>
      </c>
    </row>
    <row r="417">
      <c r="A417">
        <f>IF(ISNUMBER('ثبت معامله'!$S$419),415,NA())</f>
        <v/>
      </c>
      <c r="B417" s="60">
        <f>IF(ISNUMBER('ثبت معامله'!$S$419),'ثبت معامله'!$S$419,NA())</f>
        <v/>
      </c>
    </row>
    <row r="418">
      <c r="A418">
        <f>IF(ISNUMBER('ثبت معامله'!$S$420),416,NA())</f>
        <v/>
      </c>
      <c r="B418" s="60">
        <f>IF(ISNUMBER('ثبت معامله'!$S$420),'ثبت معامله'!$S$420,NA())</f>
        <v/>
      </c>
    </row>
    <row r="419">
      <c r="A419">
        <f>IF(ISNUMBER('ثبت معامله'!$S$421),417,NA())</f>
        <v/>
      </c>
      <c r="B419" s="60">
        <f>IF(ISNUMBER('ثبت معامله'!$S$421),'ثبت معامله'!$S$421,NA())</f>
        <v/>
      </c>
    </row>
    <row r="420">
      <c r="A420">
        <f>IF(ISNUMBER('ثبت معامله'!$S$422),418,NA())</f>
        <v/>
      </c>
      <c r="B420" s="60">
        <f>IF(ISNUMBER('ثبت معامله'!$S$422),'ثبت معامله'!$S$422,NA())</f>
        <v/>
      </c>
    </row>
    <row r="421">
      <c r="A421">
        <f>IF(ISNUMBER('ثبت معامله'!$S$423),419,NA())</f>
        <v/>
      </c>
      <c r="B421" s="60">
        <f>IF(ISNUMBER('ثبت معامله'!$S$423),'ثبت معامله'!$S$423,NA())</f>
        <v/>
      </c>
    </row>
    <row r="422">
      <c r="A422">
        <f>IF(ISNUMBER('ثبت معامله'!$S$424),420,NA())</f>
        <v/>
      </c>
      <c r="B422" s="60">
        <f>IF(ISNUMBER('ثبت معامله'!$S$424),'ثبت معامله'!$S$424,NA())</f>
        <v/>
      </c>
    </row>
    <row r="423">
      <c r="A423">
        <f>IF(ISNUMBER('ثبت معامله'!$S$425),421,NA())</f>
        <v/>
      </c>
      <c r="B423" s="60">
        <f>IF(ISNUMBER('ثبت معامله'!$S$425),'ثبت معامله'!$S$425,NA())</f>
        <v/>
      </c>
    </row>
    <row r="424">
      <c r="A424">
        <f>IF(ISNUMBER('ثبت معامله'!$S$426),422,NA())</f>
        <v/>
      </c>
      <c r="B424" s="60">
        <f>IF(ISNUMBER('ثبت معامله'!$S$426),'ثبت معامله'!$S$426,NA())</f>
        <v/>
      </c>
    </row>
    <row r="425">
      <c r="A425">
        <f>IF(ISNUMBER('ثبت معامله'!$S$427),423,NA())</f>
        <v/>
      </c>
      <c r="B425" s="60">
        <f>IF(ISNUMBER('ثبت معامله'!$S$427),'ثبت معامله'!$S$427,NA())</f>
        <v/>
      </c>
    </row>
    <row r="426">
      <c r="A426">
        <f>IF(ISNUMBER('ثبت معامله'!$S$428),424,NA())</f>
        <v/>
      </c>
      <c r="B426" s="60">
        <f>IF(ISNUMBER('ثبت معامله'!$S$428),'ثبت معامله'!$S$428,NA())</f>
        <v/>
      </c>
    </row>
    <row r="427">
      <c r="A427">
        <f>IF(ISNUMBER('ثبت معامله'!$S$429),425,NA())</f>
        <v/>
      </c>
      <c r="B427" s="60">
        <f>IF(ISNUMBER('ثبت معامله'!$S$429),'ثبت معامله'!$S$429,NA())</f>
        <v/>
      </c>
    </row>
    <row r="428">
      <c r="A428">
        <f>IF(ISNUMBER('ثبت معامله'!$S$430),426,NA())</f>
        <v/>
      </c>
      <c r="B428" s="60">
        <f>IF(ISNUMBER('ثبت معامله'!$S$430),'ثبت معامله'!$S$430,NA())</f>
        <v/>
      </c>
    </row>
    <row r="429">
      <c r="A429">
        <f>IF(ISNUMBER('ثبت معامله'!$S$431),427,NA())</f>
        <v/>
      </c>
      <c r="B429" s="60">
        <f>IF(ISNUMBER('ثبت معامله'!$S$431),'ثبت معامله'!$S$431,NA())</f>
        <v/>
      </c>
    </row>
    <row r="430">
      <c r="A430">
        <f>IF(ISNUMBER('ثبت معامله'!$S$432),428,NA())</f>
        <v/>
      </c>
      <c r="B430" s="60">
        <f>IF(ISNUMBER('ثبت معامله'!$S$432),'ثبت معامله'!$S$432,NA())</f>
        <v/>
      </c>
    </row>
    <row r="431">
      <c r="A431">
        <f>IF(ISNUMBER('ثبت معامله'!$S$433),429,NA())</f>
        <v/>
      </c>
      <c r="B431" s="60">
        <f>IF(ISNUMBER('ثبت معامله'!$S$433),'ثبت معامله'!$S$433,NA())</f>
        <v/>
      </c>
    </row>
    <row r="432">
      <c r="A432">
        <f>IF(ISNUMBER('ثبت معامله'!$S$434),430,NA())</f>
        <v/>
      </c>
      <c r="B432" s="60">
        <f>IF(ISNUMBER('ثبت معامله'!$S$434),'ثبت معامله'!$S$434,NA())</f>
        <v/>
      </c>
    </row>
    <row r="433">
      <c r="A433">
        <f>IF(ISNUMBER('ثبت معامله'!$S$435),431,NA())</f>
        <v/>
      </c>
      <c r="B433" s="60">
        <f>IF(ISNUMBER('ثبت معامله'!$S$435),'ثبت معامله'!$S$435,NA())</f>
        <v/>
      </c>
    </row>
    <row r="434">
      <c r="A434">
        <f>IF(ISNUMBER('ثبت معامله'!$S$436),432,NA())</f>
        <v/>
      </c>
      <c r="B434" s="60">
        <f>IF(ISNUMBER('ثبت معامله'!$S$436),'ثبت معامله'!$S$436,NA())</f>
        <v/>
      </c>
    </row>
    <row r="435">
      <c r="A435">
        <f>IF(ISNUMBER('ثبت معامله'!$S$437),433,NA())</f>
        <v/>
      </c>
      <c r="B435" s="60">
        <f>IF(ISNUMBER('ثبت معامله'!$S$437),'ثبت معامله'!$S$437,NA())</f>
        <v/>
      </c>
    </row>
    <row r="436">
      <c r="A436">
        <f>IF(ISNUMBER('ثبت معامله'!$S$438),434,NA())</f>
        <v/>
      </c>
      <c r="B436" s="60">
        <f>IF(ISNUMBER('ثبت معامله'!$S$438),'ثبت معامله'!$S$438,NA())</f>
        <v/>
      </c>
    </row>
    <row r="437">
      <c r="A437">
        <f>IF(ISNUMBER('ثبت معامله'!$S$439),435,NA())</f>
        <v/>
      </c>
      <c r="B437" s="60">
        <f>IF(ISNUMBER('ثبت معامله'!$S$439),'ثبت معامله'!$S$439,NA())</f>
        <v/>
      </c>
    </row>
    <row r="438">
      <c r="A438">
        <f>IF(ISNUMBER('ثبت معامله'!$S$440),436,NA())</f>
        <v/>
      </c>
      <c r="B438" s="60">
        <f>IF(ISNUMBER('ثبت معامله'!$S$440),'ثبت معامله'!$S$440,NA())</f>
        <v/>
      </c>
    </row>
    <row r="439">
      <c r="A439">
        <f>IF(ISNUMBER('ثبت معامله'!$S$441),437,NA())</f>
        <v/>
      </c>
      <c r="B439" s="60">
        <f>IF(ISNUMBER('ثبت معامله'!$S$441),'ثبت معامله'!$S$441,NA())</f>
        <v/>
      </c>
    </row>
    <row r="440">
      <c r="A440">
        <f>IF(ISNUMBER('ثبت معامله'!$S$442),438,NA())</f>
        <v/>
      </c>
      <c r="B440" s="60">
        <f>IF(ISNUMBER('ثبت معامله'!$S$442),'ثبت معامله'!$S$442,NA())</f>
        <v/>
      </c>
    </row>
    <row r="441">
      <c r="A441">
        <f>IF(ISNUMBER('ثبت معامله'!$S$443),439,NA())</f>
        <v/>
      </c>
      <c r="B441" s="60">
        <f>IF(ISNUMBER('ثبت معامله'!$S$443),'ثبت معامله'!$S$443,NA())</f>
        <v/>
      </c>
    </row>
    <row r="442">
      <c r="A442">
        <f>IF(ISNUMBER('ثبت معامله'!$S$444),440,NA())</f>
        <v/>
      </c>
      <c r="B442" s="60">
        <f>IF(ISNUMBER('ثبت معامله'!$S$444),'ثبت معامله'!$S$444,NA())</f>
        <v/>
      </c>
    </row>
    <row r="443">
      <c r="A443">
        <f>IF(ISNUMBER('ثبت معامله'!$S$445),441,NA())</f>
        <v/>
      </c>
      <c r="B443" s="60">
        <f>IF(ISNUMBER('ثبت معامله'!$S$445),'ثبت معامله'!$S$445,NA())</f>
        <v/>
      </c>
    </row>
    <row r="444">
      <c r="A444">
        <f>IF(ISNUMBER('ثبت معامله'!$S$446),442,NA())</f>
        <v/>
      </c>
      <c r="B444" s="60">
        <f>IF(ISNUMBER('ثبت معامله'!$S$446),'ثبت معامله'!$S$446,NA())</f>
        <v/>
      </c>
    </row>
    <row r="445">
      <c r="A445">
        <f>IF(ISNUMBER('ثبت معامله'!$S$447),443,NA())</f>
        <v/>
      </c>
      <c r="B445" s="60">
        <f>IF(ISNUMBER('ثبت معامله'!$S$447),'ثبت معامله'!$S$447,NA())</f>
        <v/>
      </c>
    </row>
    <row r="446">
      <c r="A446">
        <f>IF(ISNUMBER('ثبت معامله'!$S$448),444,NA())</f>
        <v/>
      </c>
      <c r="B446" s="60">
        <f>IF(ISNUMBER('ثبت معامله'!$S$448),'ثبت معامله'!$S$448,NA())</f>
        <v/>
      </c>
    </row>
    <row r="447">
      <c r="A447">
        <f>IF(ISNUMBER('ثبت معامله'!$S$449),445,NA())</f>
        <v/>
      </c>
      <c r="B447" s="60">
        <f>IF(ISNUMBER('ثبت معامله'!$S$449),'ثبت معامله'!$S$449,NA())</f>
        <v/>
      </c>
    </row>
    <row r="448">
      <c r="A448">
        <f>IF(ISNUMBER('ثبت معامله'!$S$450),446,NA())</f>
        <v/>
      </c>
      <c r="B448" s="60">
        <f>IF(ISNUMBER('ثبت معامله'!$S$450),'ثبت معامله'!$S$450,NA())</f>
        <v/>
      </c>
    </row>
    <row r="449">
      <c r="A449">
        <f>IF(ISNUMBER('ثبت معامله'!$S$451),447,NA())</f>
        <v/>
      </c>
      <c r="B449" s="60">
        <f>IF(ISNUMBER('ثبت معامله'!$S$451),'ثبت معامله'!$S$451,NA())</f>
        <v/>
      </c>
    </row>
    <row r="450">
      <c r="A450">
        <f>IF(ISNUMBER('ثبت معامله'!$S$452),448,NA())</f>
        <v/>
      </c>
      <c r="B450" s="60">
        <f>IF(ISNUMBER('ثبت معامله'!$S$452),'ثبت معامله'!$S$452,NA())</f>
        <v/>
      </c>
    </row>
    <row r="451">
      <c r="A451">
        <f>IF(ISNUMBER('ثبت معامله'!$S$453),449,NA())</f>
        <v/>
      </c>
      <c r="B451" s="60">
        <f>IF(ISNUMBER('ثبت معامله'!$S$453),'ثبت معامله'!$S$453,NA())</f>
        <v/>
      </c>
    </row>
    <row r="452">
      <c r="A452">
        <f>IF(ISNUMBER('ثبت معامله'!$S$454),450,NA())</f>
        <v/>
      </c>
      <c r="B452" s="60">
        <f>IF(ISNUMBER('ثبت معامله'!$S$454),'ثبت معامله'!$S$454,NA())</f>
        <v/>
      </c>
    </row>
    <row r="453">
      <c r="A453">
        <f>IF(ISNUMBER('ثبت معامله'!$S$455),451,NA())</f>
        <v/>
      </c>
      <c r="B453" s="60">
        <f>IF(ISNUMBER('ثبت معامله'!$S$455),'ثبت معامله'!$S$455,NA())</f>
        <v/>
      </c>
    </row>
    <row r="454">
      <c r="A454">
        <f>IF(ISNUMBER('ثبت معامله'!$S$456),452,NA())</f>
        <v/>
      </c>
      <c r="B454" s="60">
        <f>IF(ISNUMBER('ثبت معامله'!$S$456),'ثبت معامله'!$S$456,NA())</f>
        <v/>
      </c>
    </row>
    <row r="455">
      <c r="A455">
        <f>IF(ISNUMBER('ثبت معامله'!$S$457),453,NA())</f>
        <v/>
      </c>
      <c r="B455" s="60">
        <f>IF(ISNUMBER('ثبت معامله'!$S$457),'ثبت معامله'!$S$457,NA())</f>
        <v/>
      </c>
    </row>
    <row r="456">
      <c r="A456">
        <f>IF(ISNUMBER('ثبت معامله'!$S$458),454,NA())</f>
        <v/>
      </c>
      <c r="B456" s="60">
        <f>IF(ISNUMBER('ثبت معامله'!$S$458),'ثبت معامله'!$S$458,NA())</f>
        <v/>
      </c>
    </row>
    <row r="457">
      <c r="A457">
        <f>IF(ISNUMBER('ثبت معامله'!$S$459),455,NA())</f>
        <v/>
      </c>
      <c r="B457" s="60">
        <f>IF(ISNUMBER('ثبت معامله'!$S$459),'ثبت معامله'!$S$459,NA())</f>
        <v/>
      </c>
    </row>
    <row r="458">
      <c r="A458">
        <f>IF(ISNUMBER('ثبت معامله'!$S$460),456,NA())</f>
        <v/>
      </c>
      <c r="B458" s="60">
        <f>IF(ISNUMBER('ثبت معامله'!$S$460),'ثبت معامله'!$S$460,NA())</f>
        <v/>
      </c>
    </row>
    <row r="459">
      <c r="A459">
        <f>IF(ISNUMBER('ثبت معامله'!$S$461),457,NA())</f>
        <v/>
      </c>
      <c r="B459" s="60">
        <f>IF(ISNUMBER('ثبت معامله'!$S$461),'ثبت معامله'!$S$461,NA())</f>
        <v/>
      </c>
    </row>
    <row r="460">
      <c r="A460">
        <f>IF(ISNUMBER('ثبت معامله'!$S$462),458,NA())</f>
        <v/>
      </c>
      <c r="B460" s="60">
        <f>IF(ISNUMBER('ثبت معامله'!$S$462),'ثبت معامله'!$S$462,NA())</f>
        <v/>
      </c>
    </row>
    <row r="461">
      <c r="A461">
        <f>IF(ISNUMBER('ثبت معامله'!$S$463),459,NA())</f>
        <v/>
      </c>
      <c r="B461" s="60">
        <f>IF(ISNUMBER('ثبت معامله'!$S$463),'ثبت معامله'!$S$463,NA())</f>
        <v/>
      </c>
    </row>
    <row r="462">
      <c r="A462">
        <f>IF(ISNUMBER('ثبت معامله'!$S$464),460,NA())</f>
        <v/>
      </c>
      <c r="B462" s="60">
        <f>IF(ISNUMBER('ثبت معامله'!$S$464),'ثبت معامله'!$S$464,NA())</f>
        <v/>
      </c>
    </row>
    <row r="463">
      <c r="A463">
        <f>IF(ISNUMBER('ثبت معامله'!$S$465),461,NA())</f>
        <v/>
      </c>
      <c r="B463" s="60">
        <f>IF(ISNUMBER('ثبت معامله'!$S$465),'ثبت معامله'!$S$465,NA())</f>
        <v/>
      </c>
    </row>
    <row r="464">
      <c r="A464">
        <f>IF(ISNUMBER('ثبت معامله'!$S$466),462,NA())</f>
        <v/>
      </c>
      <c r="B464" s="60">
        <f>IF(ISNUMBER('ثبت معامله'!$S$466),'ثبت معامله'!$S$466,NA())</f>
        <v/>
      </c>
    </row>
    <row r="465">
      <c r="A465">
        <f>IF(ISNUMBER('ثبت معامله'!$S$467),463,NA())</f>
        <v/>
      </c>
      <c r="B465" s="60">
        <f>IF(ISNUMBER('ثبت معامله'!$S$467),'ثبت معامله'!$S$467,NA())</f>
        <v/>
      </c>
    </row>
    <row r="466">
      <c r="A466">
        <f>IF(ISNUMBER('ثبت معامله'!$S$468),464,NA())</f>
        <v/>
      </c>
      <c r="B466" s="60">
        <f>IF(ISNUMBER('ثبت معامله'!$S$468),'ثبت معامله'!$S$468,NA())</f>
        <v/>
      </c>
    </row>
    <row r="467">
      <c r="A467">
        <f>IF(ISNUMBER('ثبت معامله'!$S$469),465,NA())</f>
        <v/>
      </c>
      <c r="B467" s="60">
        <f>IF(ISNUMBER('ثبت معامله'!$S$469),'ثبت معامله'!$S$469,NA())</f>
        <v/>
      </c>
    </row>
    <row r="468">
      <c r="A468">
        <f>IF(ISNUMBER('ثبت معامله'!$S$470),466,NA())</f>
        <v/>
      </c>
      <c r="B468" s="60">
        <f>IF(ISNUMBER('ثبت معامله'!$S$470),'ثبت معامله'!$S$470,NA())</f>
        <v/>
      </c>
    </row>
    <row r="469">
      <c r="A469">
        <f>IF(ISNUMBER('ثبت معامله'!$S$471),467,NA())</f>
        <v/>
      </c>
      <c r="B469" s="60">
        <f>IF(ISNUMBER('ثبت معامله'!$S$471),'ثبت معامله'!$S$471,NA())</f>
        <v/>
      </c>
    </row>
    <row r="470">
      <c r="A470">
        <f>IF(ISNUMBER('ثبت معامله'!$S$472),468,NA())</f>
        <v/>
      </c>
      <c r="B470" s="60">
        <f>IF(ISNUMBER('ثبت معامله'!$S$472),'ثبت معامله'!$S$472,NA())</f>
        <v/>
      </c>
    </row>
    <row r="471">
      <c r="A471">
        <f>IF(ISNUMBER('ثبت معامله'!$S$473),469,NA())</f>
        <v/>
      </c>
      <c r="B471" s="60">
        <f>IF(ISNUMBER('ثبت معامله'!$S$473),'ثبت معامله'!$S$473,NA())</f>
        <v/>
      </c>
    </row>
    <row r="472">
      <c r="A472">
        <f>IF(ISNUMBER('ثبت معامله'!$S$474),470,NA())</f>
        <v/>
      </c>
      <c r="B472" s="60">
        <f>IF(ISNUMBER('ثبت معامله'!$S$474),'ثبت معامله'!$S$474,NA())</f>
        <v/>
      </c>
    </row>
    <row r="473">
      <c r="A473">
        <f>IF(ISNUMBER('ثبت معامله'!$S$475),471,NA())</f>
        <v/>
      </c>
      <c r="B473" s="60">
        <f>IF(ISNUMBER('ثبت معامله'!$S$475),'ثبت معامله'!$S$475,NA())</f>
        <v/>
      </c>
    </row>
    <row r="474">
      <c r="A474">
        <f>IF(ISNUMBER('ثبت معامله'!$S$476),472,NA())</f>
        <v/>
      </c>
      <c r="B474" s="60">
        <f>IF(ISNUMBER('ثبت معامله'!$S$476),'ثبت معامله'!$S$476,NA())</f>
        <v/>
      </c>
    </row>
    <row r="475">
      <c r="A475">
        <f>IF(ISNUMBER('ثبت معامله'!$S$477),473,NA())</f>
        <v/>
      </c>
      <c r="B475" s="60">
        <f>IF(ISNUMBER('ثبت معامله'!$S$477),'ثبت معامله'!$S$477,NA())</f>
        <v/>
      </c>
    </row>
    <row r="476">
      <c r="A476">
        <f>IF(ISNUMBER('ثبت معامله'!$S$478),474,NA())</f>
        <v/>
      </c>
      <c r="B476" s="60">
        <f>IF(ISNUMBER('ثبت معامله'!$S$478),'ثبت معامله'!$S$478,NA())</f>
        <v/>
      </c>
    </row>
    <row r="477">
      <c r="A477">
        <f>IF(ISNUMBER('ثبت معامله'!$S$479),475,NA())</f>
        <v/>
      </c>
      <c r="B477" s="60">
        <f>IF(ISNUMBER('ثبت معامله'!$S$479),'ثبت معامله'!$S$479,NA())</f>
        <v/>
      </c>
    </row>
    <row r="478">
      <c r="A478">
        <f>IF(ISNUMBER('ثبت معامله'!$S$480),476,NA())</f>
        <v/>
      </c>
      <c r="B478" s="60">
        <f>IF(ISNUMBER('ثبت معامله'!$S$480),'ثبت معامله'!$S$480,NA())</f>
        <v/>
      </c>
    </row>
    <row r="479">
      <c r="A479">
        <f>IF(ISNUMBER('ثبت معامله'!$S$481),477,NA())</f>
        <v/>
      </c>
      <c r="B479" s="60">
        <f>IF(ISNUMBER('ثبت معامله'!$S$481),'ثبت معامله'!$S$481,NA())</f>
        <v/>
      </c>
    </row>
    <row r="480">
      <c r="A480">
        <f>IF(ISNUMBER('ثبت معامله'!$S$482),478,NA())</f>
        <v/>
      </c>
      <c r="B480" s="60">
        <f>IF(ISNUMBER('ثبت معامله'!$S$482),'ثبت معامله'!$S$482,NA())</f>
        <v/>
      </c>
    </row>
    <row r="481">
      <c r="A481">
        <f>IF(ISNUMBER('ثبت معامله'!$S$483),479,NA())</f>
        <v/>
      </c>
      <c r="B481" s="60">
        <f>IF(ISNUMBER('ثبت معامله'!$S$483),'ثبت معامله'!$S$483,NA())</f>
        <v/>
      </c>
    </row>
    <row r="482">
      <c r="A482">
        <f>IF(ISNUMBER('ثبت معامله'!$S$484),480,NA())</f>
        <v/>
      </c>
      <c r="B482" s="60">
        <f>IF(ISNUMBER('ثبت معامله'!$S$484),'ثبت معامله'!$S$484,NA())</f>
        <v/>
      </c>
    </row>
    <row r="483">
      <c r="A483">
        <f>IF(ISNUMBER('ثبت معامله'!$S$485),481,NA())</f>
        <v/>
      </c>
      <c r="B483" s="60">
        <f>IF(ISNUMBER('ثبت معامله'!$S$485),'ثبت معامله'!$S$485,NA())</f>
        <v/>
      </c>
    </row>
    <row r="484">
      <c r="A484">
        <f>IF(ISNUMBER('ثبت معامله'!$S$486),482,NA())</f>
        <v/>
      </c>
      <c r="B484" s="60">
        <f>IF(ISNUMBER('ثبت معامله'!$S$486),'ثبت معامله'!$S$486,NA())</f>
        <v/>
      </c>
    </row>
    <row r="485">
      <c r="A485">
        <f>IF(ISNUMBER('ثبت معامله'!$S$487),483,NA())</f>
        <v/>
      </c>
      <c r="B485" s="60">
        <f>IF(ISNUMBER('ثبت معامله'!$S$487),'ثبت معامله'!$S$487,NA())</f>
        <v/>
      </c>
    </row>
    <row r="486">
      <c r="A486">
        <f>IF(ISNUMBER('ثبت معامله'!$S$488),484,NA())</f>
        <v/>
      </c>
      <c r="B486" s="60">
        <f>IF(ISNUMBER('ثبت معامله'!$S$488),'ثبت معامله'!$S$488,NA())</f>
        <v/>
      </c>
    </row>
    <row r="487">
      <c r="A487">
        <f>IF(ISNUMBER('ثبت معامله'!$S$489),485,NA())</f>
        <v/>
      </c>
      <c r="B487" s="60">
        <f>IF(ISNUMBER('ثبت معامله'!$S$489),'ثبت معامله'!$S$489,NA())</f>
        <v/>
      </c>
    </row>
    <row r="488">
      <c r="A488">
        <f>IF(ISNUMBER('ثبت معامله'!$S$490),486,NA())</f>
        <v/>
      </c>
      <c r="B488" s="60">
        <f>IF(ISNUMBER('ثبت معامله'!$S$490),'ثبت معامله'!$S$490,NA())</f>
        <v/>
      </c>
    </row>
    <row r="489">
      <c r="A489">
        <f>IF(ISNUMBER('ثبت معامله'!$S$491),487,NA())</f>
        <v/>
      </c>
      <c r="B489" s="60">
        <f>IF(ISNUMBER('ثبت معامله'!$S$491),'ثبت معامله'!$S$491,NA())</f>
        <v/>
      </c>
    </row>
    <row r="490">
      <c r="A490">
        <f>IF(ISNUMBER('ثبت معامله'!$S$492),488,NA())</f>
        <v/>
      </c>
      <c r="B490" s="60">
        <f>IF(ISNUMBER('ثبت معامله'!$S$492),'ثبت معامله'!$S$492,NA())</f>
        <v/>
      </c>
    </row>
    <row r="491">
      <c r="A491">
        <f>IF(ISNUMBER('ثبت معامله'!$S$493),489,NA())</f>
        <v/>
      </c>
      <c r="B491" s="60">
        <f>IF(ISNUMBER('ثبت معامله'!$S$493),'ثبت معامله'!$S$493,NA())</f>
        <v/>
      </c>
    </row>
    <row r="492">
      <c r="A492">
        <f>IF(ISNUMBER('ثبت معامله'!$S$494),490,NA())</f>
        <v/>
      </c>
      <c r="B492" s="60">
        <f>IF(ISNUMBER('ثبت معامله'!$S$494),'ثبت معامله'!$S$494,NA())</f>
        <v/>
      </c>
    </row>
    <row r="493">
      <c r="A493">
        <f>IF(ISNUMBER('ثبت معامله'!$S$495),491,NA())</f>
        <v/>
      </c>
      <c r="B493" s="60">
        <f>IF(ISNUMBER('ثبت معامله'!$S$495),'ثبت معامله'!$S$495,NA())</f>
        <v/>
      </c>
    </row>
    <row r="494">
      <c r="A494">
        <f>IF(ISNUMBER('ثبت معامله'!$S$496),492,NA())</f>
        <v/>
      </c>
      <c r="B494" s="60">
        <f>IF(ISNUMBER('ثبت معامله'!$S$496),'ثبت معامله'!$S$496,NA())</f>
        <v/>
      </c>
    </row>
    <row r="495">
      <c r="A495">
        <f>IF(ISNUMBER('ثبت معامله'!$S$497),493,NA())</f>
        <v/>
      </c>
      <c r="B495" s="60">
        <f>IF(ISNUMBER('ثبت معامله'!$S$497),'ثبت معامله'!$S$497,NA())</f>
        <v/>
      </c>
    </row>
    <row r="496">
      <c r="A496">
        <f>IF(ISNUMBER('ثبت معامله'!$S$498),494,NA())</f>
        <v/>
      </c>
      <c r="B496" s="60">
        <f>IF(ISNUMBER('ثبت معامله'!$S$498),'ثبت معامله'!$S$498,NA())</f>
        <v/>
      </c>
    </row>
    <row r="497">
      <c r="A497">
        <f>IF(ISNUMBER('ثبت معامله'!$S$499),495,NA())</f>
        <v/>
      </c>
      <c r="B497" s="60">
        <f>IF(ISNUMBER('ثبت معامله'!$S$499),'ثبت معامله'!$S$499,NA())</f>
        <v/>
      </c>
    </row>
    <row r="498">
      <c r="A498">
        <f>IF(ISNUMBER('ثبت معامله'!$S$500),496,NA())</f>
        <v/>
      </c>
      <c r="B498" s="60">
        <f>IF(ISNUMBER('ثبت معامله'!$S$500),'ثبت معامله'!$S$500,NA())</f>
        <v/>
      </c>
    </row>
    <row r="499">
      <c r="A499">
        <f>IF(ISNUMBER('ثبت معامله'!$S$501),497,NA())</f>
        <v/>
      </c>
      <c r="B499" s="60">
        <f>IF(ISNUMBER('ثبت معامله'!$S$501),'ثبت معامله'!$S$501,NA())</f>
        <v/>
      </c>
    </row>
    <row r="500">
      <c r="A500">
        <f>IF(ISNUMBER('ثبت معامله'!$S$502),498,NA())</f>
        <v/>
      </c>
      <c r="B500" s="60">
        <f>IF(ISNUMBER('ثبت معامله'!$S$502),'ثبت معامله'!$S$502,NA())</f>
        <v/>
      </c>
    </row>
    <row r="501">
      <c r="A501">
        <f>IF(ISNUMBER('ثبت معامله'!$S$503),499,NA())</f>
        <v/>
      </c>
      <c r="B501" s="60">
        <f>IF(ISNUMBER('ثبت معامله'!$S$503),'ثبت معامله'!$S$503,NA())</f>
        <v/>
      </c>
    </row>
    <row r="502">
      <c r="A502">
        <f>IF(ISNUMBER('ثبت معامله'!$S$504),500,NA())</f>
        <v/>
      </c>
      <c r="B502" s="60">
        <f>IF(ISNUMBER('ثبت معامله'!$S$504),'ثبت معامله'!$S$504,NA())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Otana</dc:creator>
  <dc:title xmlns:dc="http://purl.org/dc/elements/1.1/">ژورنال معاملاتی اوتانا</dc:title>
  <dc:description xmlns:dc="http://purl.org/dc/elements/1.1/">قالب رایگان اکسل برای ثبت و مرور معامله‌ها</dc:description>
  <dcterms:created xmlns:dcterms="http://purl.org/dc/terms/" xmlns:xsi="http://www.w3.org/2001/XMLSchema-instance" xsi:type="dcterms:W3CDTF">2026-09-29T13:54:59Z</dcterms:created>
  <dcterms:modified xmlns:dcterms="http://purl.org/dc/terms/" xmlns:xsi="http://www.w3.org/2001/XMLSchema-instance" xsi:type="dcterms:W3CDTF">2026-09-29T13:55:01Z</dcterms:modified>
</cp:coreProperties>
</file>